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cion Oficiosa 2023\2023\3 Trimestre (Julio Agosto Septiembre) 2023\3 Trimestre Entregas (Julio Agosto Septiembre) 2023)\UGTH\"/>
    </mc:Choice>
  </mc:AlternateContent>
  <bookViews>
    <workbookView xWindow="0" yWindow="0" windowWidth="20490" windowHeight="7755" tabRatio="596" firstSheet="1" activeTab="1"/>
  </bookViews>
  <sheets>
    <sheet name="Hoja1" sheetId="1" state="hidden" r:id="rId1"/>
    <sheet name="SALARIO" sheetId="3" r:id="rId2"/>
    <sheet name="VACACIONES" sheetId="4" r:id="rId3"/>
  </sheets>
  <externalReferences>
    <externalReference r:id="rId4"/>
  </externalReferences>
  <definedNames>
    <definedName name="_xlnm.Print_Titles" localSheetId="1">SALARIO!$A:$E,SALARIO!$1:$5</definedName>
    <definedName name="_xlnm.Print_Titles" localSheetId="2">VACACIONES!$1:$5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5" i="3" l="1"/>
  <c r="F391" i="4" l="1"/>
  <c r="G391" i="4" s="1"/>
  <c r="L391" i="4" l="1"/>
  <c r="K391" i="4"/>
  <c r="H391" i="4"/>
  <c r="M391" i="4" s="1"/>
  <c r="I38" i="3" l="1"/>
  <c r="I30" i="3"/>
  <c r="I26" i="3"/>
  <c r="I149" i="3"/>
  <c r="I142" i="3"/>
  <c r="I138" i="3"/>
  <c r="I104" i="3"/>
  <c r="I96" i="3"/>
  <c r="F427" i="4"/>
  <c r="G427" i="4" s="1"/>
  <c r="G77" i="4"/>
  <c r="L77" i="4" s="1"/>
  <c r="G56" i="4"/>
  <c r="G54" i="4"/>
  <c r="K54" i="4" s="1"/>
  <c r="X56" i="3"/>
  <c r="Y56" i="3" s="1"/>
  <c r="S56" i="3"/>
  <c r="T56" i="3" s="1"/>
  <c r="N56" i="3"/>
  <c r="J56" i="3"/>
  <c r="G56" i="3"/>
  <c r="H427" i="4" l="1"/>
  <c r="K427" i="4"/>
  <c r="L427" i="4"/>
  <c r="H77" i="4"/>
  <c r="K77" i="4"/>
  <c r="L56" i="4"/>
  <c r="K56" i="4"/>
  <c r="H56" i="4"/>
  <c r="M56" i="4" s="1"/>
  <c r="L54" i="4"/>
  <c r="H54" i="4"/>
  <c r="M54" i="4" s="1"/>
  <c r="W56" i="3"/>
  <c r="O56" i="3"/>
  <c r="M427" i="4" l="1"/>
  <c r="M77" i="4"/>
  <c r="AJ303" i="3" l="1"/>
  <c r="AI303" i="3"/>
  <c r="AH303" i="3"/>
  <c r="AG303" i="3"/>
  <c r="AF303" i="3"/>
  <c r="AE303" i="3"/>
  <c r="AD303" i="3"/>
  <c r="AC303" i="3"/>
  <c r="AB303" i="3"/>
  <c r="AA303" i="3"/>
  <c r="Z303" i="3"/>
  <c r="V310" i="3"/>
  <c r="U310" i="3"/>
  <c r="R310" i="3"/>
  <c r="Q310" i="3"/>
  <c r="O310" i="3"/>
  <c r="M310" i="3"/>
  <c r="L310" i="3"/>
  <c r="K310" i="3"/>
  <c r="I310" i="3"/>
  <c r="H310" i="3"/>
  <c r="F310" i="3"/>
  <c r="K159" i="3"/>
  <c r="H159" i="3"/>
  <c r="F309" i="4"/>
  <c r="F386" i="4"/>
  <c r="G386" i="4" s="1"/>
  <c r="G385" i="4"/>
  <c r="L385" i="4" s="1"/>
  <c r="F404" i="3"/>
  <c r="F387" i="3"/>
  <c r="S387" i="3" s="1"/>
  <c r="T387" i="3" s="1"/>
  <c r="F386" i="3"/>
  <c r="N386" i="3" s="1"/>
  <c r="F385" i="3"/>
  <c r="S385" i="3" s="1"/>
  <c r="T385" i="3" s="1"/>
  <c r="H43" i="3"/>
  <c r="I43" i="3"/>
  <c r="K43" i="3"/>
  <c r="L43" i="3"/>
  <c r="M43" i="3"/>
  <c r="Q43" i="3"/>
  <c r="R43" i="3"/>
  <c r="U43" i="3"/>
  <c r="V43" i="3"/>
  <c r="Z43" i="3"/>
  <c r="AA43" i="3"/>
  <c r="AB43" i="3"/>
  <c r="AC43" i="3"/>
  <c r="AD43" i="3"/>
  <c r="AE43" i="3"/>
  <c r="AF43" i="3"/>
  <c r="AG43" i="3"/>
  <c r="AH43" i="3"/>
  <c r="AI43" i="3"/>
  <c r="AJ43" i="3"/>
  <c r="F42" i="3"/>
  <c r="G42" i="3" s="1"/>
  <c r="F42" i="4"/>
  <c r="F41" i="4"/>
  <c r="F437" i="4"/>
  <c r="F436" i="4"/>
  <c r="F435" i="4"/>
  <c r="F434" i="4"/>
  <c r="F433" i="4"/>
  <c r="F432" i="4"/>
  <c r="F431" i="4"/>
  <c r="F430" i="4"/>
  <c r="F429" i="4"/>
  <c r="F428" i="4"/>
  <c r="F426" i="4"/>
  <c r="F425" i="4"/>
  <c r="F423" i="4"/>
  <c r="F422" i="4"/>
  <c r="F418" i="4"/>
  <c r="F416" i="4"/>
  <c r="F415" i="4"/>
  <c r="F411" i="4"/>
  <c r="F409" i="4"/>
  <c r="F408" i="4"/>
  <c r="F403" i="4"/>
  <c r="F402" i="4"/>
  <c r="F401" i="4"/>
  <c r="F399" i="4"/>
  <c r="F398" i="4"/>
  <c r="F397" i="4"/>
  <c r="F395" i="4"/>
  <c r="F393" i="4"/>
  <c r="F392" i="4"/>
  <c r="F390" i="4"/>
  <c r="F384" i="4"/>
  <c r="F383" i="4"/>
  <c r="F382" i="4"/>
  <c r="F381" i="4"/>
  <c r="F380" i="4"/>
  <c r="F379" i="4"/>
  <c r="F374" i="4"/>
  <c r="F375" i="4"/>
  <c r="F376" i="4"/>
  <c r="F377" i="4"/>
  <c r="F378" i="4"/>
  <c r="F373" i="4"/>
  <c r="F372" i="4"/>
  <c r="F371" i="4"/>
  <c r="F369" i="4"/>
  <c r="F370" i="4"/>
  <c r="F368" i="4"/>
  <c r="F36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2" i="4"/>
  <c r="F329" i="4"/>
  <c r="F327" i="4"/>
  <c r="F326" i="4"/>
  <c r="F325" i="4"/>
  <c r="F324" i="4"/>
  <c r="F322" i="4"/>
  <c r="F321" i="4"/>
  <c r="F320" i="4"/>
  <c r="F319" i="4"/>
  <c r="F318" i="4"/>
  <c r="F315" i="4"/>
  <c r="F314" i="4"/>
  <c r="F288" i="4"/>
  <c r="F299" i="4"/>
  <c r="F297" i="4"/>
  <c r="F296" i="4"/>
  <c r="F294" i="4"/>
  <c r="F287" i="4"/>
  <c r="F285" i="4"/>
  <c r="F284" i="4"/>
  <c r="F223" i="4"/>
  <c r="F279" i="4"/>
  <c r="F280" i="4" s="1"/>
  <c r="F273" i="4"/>
  <c r="F278" i="4" s="1"/>
  <c r="F268" i="4"/>
  <c r="F271" i="4" s="1"/>
  <c r="F238" i="4"/>
  <c r="F239" i="4" s="1"/>
  <c r="F231" i="4"/>
  <c r="F228" i="4"/>
  <c r="F229" i="4"/>
  <c r="F227" i="4"/>
  <c r="F225" i="4"/>
  <c r="F226" i="4"/>
  <c r="F224" i="4"/>
  <c r="F218" i="4"/>
  <c r="F199" i="4"/>
  <c r="F202" i="4"/>
  <c r="F200" i="4"/>
  <c r="F197" i="4"/>
  <c r="F196" i="4"/>
  <c r="F195" i="4"/>
  <c r="F191" i="4"/>
  <c r="F188" i="4"/>
  <c r="F187" i="4"/>
  <c r="F177" i="4"/>
  <c r="F176" i="4"/>
  <c r="F175" i="4"/>
  <c r="F174" i="4"/>
  <c r="F172" i="4"/>
  <c r="F171" i="4"/>
  <c r="F170" i="4"/>
  <c r="F169" i="4"/>
  <c r="F167" i="4"/>
  <c r="F166" i="4"/>
  <c r="F165" i="4"/>
  <c r="F161" i="4"/>
  <c r="F154" i="4"/>
  <c r="F153" i="4"/>
  <c r="F26" i="4"/>
  <c r="F425" i="3"/>
  <c r="F152" i="4"/>
  <c r="F164" i="4"/>
  <c r="F182" i="4"/>
  <c r="F185" i="4"/>
  <c r="F186" i="4"/>
  <c r="F198" i="4"/>
  <c r="F209" i="4"/>
  <c r="F147" i="4"/>
  <c r="F145" i="4"/>
  <c r="F141" i="4"/>
  <c r="F140" i="4"/>
  <c r="F139" i="4"/>
  <c r="F137" i="4"/>
  <c r="F138" i="4" s="1"/>
  <c r="F135" i="4"/>
  <c r="F134" i="4"/>
  <c r="F129" i="4"/>
  <c r="F127" i="4"/>
  <c r="F126" i="4"/>
  <c r="F125" i="4"/>
  <c r="F124" i="4"/>
  <c r="F123" i="4"/>
  <c r="F122" i="4"/>
  <c r="F121" i="4"/>
  <c r="F116" i="4"/>
  <c r="F110" i="4"/>
  <c r="F111" i="4" s="1"/>
  <c r="F106" i="4"/>
  <c r="F107" i="4" s="1"/>
  <c r="F104" i="4"/>
  <c r="F100" i="4"/>
  <c r="F99" i="4"/>
  <c r="F98" i="4"/>
  <c r="F96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3" i="4"/>
  <c r="F52" i="4"/>
  <c r="F51" i="4"/>
  <c r="F50" i="4"/>
  <c r="F49" i="4"/>
  <c r="F48" i="4"/>
  <c r="F45" i="4"/>
  <c r="F46" i="4" s="1"/>
  <c r="F40" i="4"/>
  <c r="F37" i="4"/>
  <c r="F38" i="4" s="1"/>
  <c r="F34" i="4"/>
  <c r="F35" i="4" s="1"/>
  <c r="F29" i="4"/>
  <c r="F27" i="4"/>
  <c r="F23" i="4"/>
  <c r="F242" i="4"/>
  <c r="F244" i="4"/>
  <c r="F248" i="4" s="1"/>
  <c r="F254" i="4"/>
  <c r="F260" i="4"/>
  <c r="F266" i="4"/>
  <c r="F282" i="4"/>
  <c r="F298" i="4"/>
  <c r="F312" i="4"/>
  <c r="F357" i="4"/>
  <c r="F358" i="4"/>
  <c r="F359" i="4"/>
  <c r="F360" i="4"/>
  <c r="F361" i="4"/>
  <c r="F362" i="4"/>
  <c r="F363" i="4"/>
  <c r="F364" i="4"/>
  <c r="F365" i="4"/>
  <c r="F400" i="4"/>
  <c r="F436" i="3"/>
  <c r="F435" i="3"/>
  <c r="F434" i="3"/>
  <c r="F433" i="3"/>
  <c r="F432" i="3"/>
  <c r="F431" i="3"/>
  <c r="F430" i="3"/>
  <c r="F429" i="3"/>
  <c r="F428" i="3"/>
  <c r="F427" i="3"/>
  <c r="F426" i="3"/>
  <c r="F423" i="3"/>
  <c r="F422" i="3"/>
  <c r="F418" i="3"/>
  <c r="F416" i="3"/>
  <c r="F415" i="3"/>
  <c r="F411" i="3"/>
  <c r="F409" i="3"/>
  <c r="F408" i="3"/>
  <c r="F403" i="3"/>
  <c r="F402" i="3"/>
  <c r="F401" i="3"/>
  <c r="F399" i="3"/>
  <c r="F398" i="3"/>
  <c r="F397" i="3"/>
  <c r="F395" i="3"/>
  <c r="F393" i="3"/>
  <c r="F392" i="3"/>
  <c r="F390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2" i="3"/>
  <c r="F329" i="3"/>
  <c r="F327" i="3"/>
  <c r="F326" i="3"/>
  <c r="F325" i="3"/>
  <c r="F324" i="3"/>
  <c r="F322" i="3"/>
  <c r="F321" i="3"/>
  <c r="F320" i="3"/>
  <c r="F319" i="3"/>
  <c r="F318" i="3"/>
  <c r="F315" i="3"/>
  <c r="F314" i="3"/>
  <c r="F300" i="3"/>
  <c r="F298" i="3"/>
  <c r="F297" i="3"/>
  <c r="F295" i="3"/>
  <c r="F289" i="3"/>
  <c r="F288" i="3"/>
  <c r="F286" i="3"/>
  <c r="F285" i="3"/>
  <c r="F280" i="3"/>
  <c r="F274" i="3"/>
  <c r="F269" i="3"/>
  <c r="F239" i="3"/>
  <c r="F232" i="3"/>
  <c r="F230" i="3"/>
  <c r="F229" i="3"/>
  <c r="F228" i="3"/>
  <c r="F227" i="3"/>
  <c r="F226" i="3"/>
  <c r="F225" i="3"/>
  <c r="F224" i="3"/>
  <c r="F219" i="3"/>
  <c r="F203" i="3"/>
  <c r="F201" i="3"/>
  <c r="F200" i="3"/>
  <c r="F198" i="3"/>
  <c r="F197" i="3"/>
  <c r="F192" i="3"/>
  <c r="F189" i="3"/>
  <c r="F188" i="3"/>
  <c r="F178" i="3"/>
  <c r="F177" i="3"/>
  <c r="F176" i="3"/>
  <c r="F175" i="3"/>
  <c r="F173" i="3"/>
  <c r="F172" i="3"/>
  <c r="F171" i="3"/>
  <c r="F170" i="3"/>
  <c r="F168" i="3"/>
  <c r="F167" i="3"/>
  <c r="F166" i="3"/>
  <c r="F162" i="3"/>
  <c r="F154" i="3"/>
  <c r="F153" i="3"/>
  <c r="F147" i="3"/>
  <c r="F145" i="3"/>
  <c r="F141" i="3"/>
  <c r="F140" i="3"/>
  <c r="F137" i="3"/>
  <c r="F135" i="3"/>
  <c r="F134" i="3"/>
  <c r="F129" i="3"/>
  <c r="F127" i="3"/>
  <c r="F126" i="3"/>
  <c r="F125" i="3"/>
  <c r="F124" i="3"/>
  <c r="F123" i="3"/>
  <c r="F122" i="3"/>
  <c r="F121" i="3"/>
  <c r="F110" i="3"/>
  <c r="F100" i="3"/>
  <c r="F99" i="3"/>
  <c r="F98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3" i="3"/>
  <c r="F52" i="3"/>
  <c r="F51" i="3"/>
  <c r="F50" i="3"/>
  <c r="F49" i="3"/>
  <c r="F45" i="3"/>
  <c r="F41" i="3"/>
  <c r="F40" i="3"/>
  <c r="F37" i="3"/>
  <c r="F34" i="3"/>
  <c r="F29" i="3"/>
  <c r="F158" i="4" l="1"/>
  <c r="F159" i="3"/>
  <c r="L386" i="4"/>
  <c r="K386" i="4"/>
  <c r="H386" i="4"/>
  <c r="H385" i="4"/>
  <c r="K385" i="4"/>
  <c r="M385" i="4" s="1"/>
  <c r="F149" i="4"/>
  <c r="F30" i="4"/>
  <c r="F301" i="4"/>
  <c r="X387" i="3"/>
  <c r="Y387" i="3" s="1"/>
  <c r="G387" i="3"/>
  <c r="J387" i="3"/>
  <c r="Z387" i="3"/>
  <c r="N387" i="3"/>
  <c r="S386" i="3"/>
  <c r="T386" i="3" s="1"/>
  <c r="O386" i="3"/>
  <c r="X386" i="3"/>
  <c r="Y386" i="3" s="1"/>
  <c r="G386" i="3"/>
  <c r="J386" i="3"/>
  <c r="Z386" i="3"/>
  <c r="F43" i="3"/>
  <c r="N385" i="3"/>
  <c r="O385" i="3" s="1"/>
  <c r="X385" i="3"/>
  <c r="Y385" i="3" s="1"/>
  <c r="G385" i="3"/>
  <c r="J385" i="3"/>
  <c r="Z385" i="3"/>
  <c r="N42" i="3"/>
  <c r="O42" i="3" s="1"/>
  <c r="F142" i="4"/>
  <c r="J42" i="3"/>
  <c r="S42" i="3"/>
  <c r="T42" i="3" s="1"/>
  <c r="X42" i="3"/>
  <c r="Y42" i="3" s="1"/>
  <c r="F43" i="4"/>
  <c r="F290" i="4"/>
  <c r="F189" i="4"/>
  <c r="F89" i="4"/>
  <c r="F101" i="4"/>
  <c r="F136" i="4"/>
  <c r="F420" i="4"/>
  <c r="F236" i="4"/>
  <c r="F281" i="4" s="1"/>
  <c r="F203" i="4"/>
  <c r="F179" i="4"/>
  <c r="F214" i="4"/>
  <c r="W386" i="3" l="1"/>
  <c r="M386" i="4"/>
  <c r="F150" i="4"/>
  <c r="F302" i="4"/>
  <c r="W385" i="3"/>
  <c r="O387" i="3"/>
  <c r="W387" i="3"/>
  <c r="AF387" i="3"/>
  <c r="AC387" i="3"/>
  <c r="AA387" i="3"/>
  <c r="AF386" i="3"/>
  <c r="AC386" i="3"/>
  <c r="AA386" i="3"/>
  <c r="W42" i="3"/>
  <c r="AC385" i="3"/>
  <c r="AA385" i="3"/>
  <c r="AF385" i="3"/>
  <c r="F210" i="4"/>
  <c r="I159" i="3"/>
  <c r="L159" i="3"/>
  <c r="M159" i="3"/>
  <c r="Q159" i="3"/>
  <c r="R159" i="3"/>
  <c r="U159" i="3"/>
  <c r="V159" i="3"/>
  <c r="Z159" i="3"/>
  <c r="AA159" i="3"/>
  <c r="AB159" i="3"/>
  <c r="AC159" i="3"/>
  <c r="AD159" i="3"/>
  <c r="AE159" i="3"/>
  <c r="AF159" i="3"/>
  <c r="AG159" i="3"/>
  <c r="AG211" i="3" s="1"/>
  <c r="AH159" i="3"/>
  <c r="AH211" i="3" s="1"/>
  <c r="AI159" i="3"/>
  <c r="AI211" i="3" s="1"/>
  <c r="AJ159" i="3"/>
  <c r="AJ211" i="3" s="1"/>
  <c r="G333" i="3"/>
  <c r="AJ6" i="3"/>
  <c r="V46" i="3"/>
  <c r="U46" i="3"/>
  <c r="R46" i="3"/>
  <c r="Q46" i="3"/>
  <c r="M46" i="3"/>
  <c r="L46" i="3"/>
  <c r="K46" i="3"/>
  <c r="I46" i="3"/>
  <c r="H46" i="3"/>
  <c r="F46" i="3"/>
  <c r="X44" i="3"/>
  <c r="Y44" i="3" s="1"/>
  <c r="S44" i="3"/>
  <c r="T44" i="3" s="1"/>
  <c r="N44" i="3"/>
  <c r="P44" i="3" s="1"/>
  <c r="P46" i="3" s="1"/>
  <c r="J44" i="3"/>
  <c r="G44" i="3"/>
  <c r="AE387" i="3" l="1"/>
  <c r="AE385" i="3"/>
  <c r="AE386" i="3"/>
  <c r="Z333" i="3"/>
  <c r="S333" i="3"/>
  <c r="T333" i="3" s="1"/>
  <c r="X333" i="3"/>
  <c r="Y333" i="3" s="1"/>
  <c r="N333" i="3"/>
  <c r="J333" i="3"/>
  <c r="W44" i="3"/>
  <c r="I20" i="3"/>
  <c r="AC333" i="3" l="1"/>
  <c r="AF333" i="3"/>
  <c r="AA333" i="3"/>
  <c r="J439" i="4"/>
  <c r="I439" i="4"/>
  <c r="G438" i="4"/>
  <c r="H438" i="4" s="1"/>
  <c r="G437" i="4"/>
  <c r="K437" i="4" s="1"/>
  <c r="G436" i="4"/>
  <c r="G435" i="4"/>
  <c r="G434" i="4"/>
  <c r="G433" i="4"/>
  <c r="G432" i="4"/>
  <c r="G431" i="4"/>
  <c r="G430" i="4"/>
  <c r="G429" i="4"/>
  <c r="G428" i="4"/>
  <c r="G424" i="4"/>
  <c r="G423" i="4"/>
  <c r="G422" i="4"/>
  <c r="K422" i="4" s="1"/>
  <c r="G421" i="4"/>
  <c r="L421" i="4" s="1"/>
  <c r="J420" i="4"/>
  <c r="G419" i="4"/>
  <c r="H419" i="4" s="1"/>
  <c r="G418" i="4"/>
  <c r="G417" i="4"/>
  <c r="H417" i="4" s="1"/>
  <c r="G416" i="4"/>
  <c r="G415" i="4"/>
  <c r="G414" i="4"/>
  <c r="K414" i="4" s="1"/>
  <c r="G412" i="4"/>
  <c r="G411" i="4"/>
  <c r="G409" i="4"/>
  <c r="G408" i="4"/>
  <c r="G407" i="4"/>
  <c r="L407" i="4" s="1"/>
  <c r="G406" i="4"/>
  <c r="H406" i="4" s="1"/>
  <c r="G404" i="4"/>
  <c r="G403" i="4"/>
  <c r="G402" i="4"/>
  <c r="G401" i="4"/>
  <c r="G400" i="4"/>
  <c r="G399" i="4"/>
  <c r="G398" i="4"/>
  <c r="I398" i="4" s="1"/>
  <c r="G397" i="4"/>
  <c r="G395" i="4"/>
  <c r="G394" i="4"/>
  <c r="K394" i="4" s="1"/>
  <c r="G393" i="4"/>
  <c r="G392" i="4"/>
  <c r="G390" i="4"/>
  <c r="G387" i="4"/>
  <c r="H387" i="4" s="1"/>
  <c r="G389" i="4"/>
  <c r="K389" i="4" s="1"/>
  <c r="G388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L366" i="4" s="1"/>
  <c r="G365" i="4"/>
  <c r="H365" i="4" s="1"/>
  <c r="G364" i="4"/>
  <c r="G363" i="4"/>
  <c r="G362" i="4"/>
  <c r="G361" i="4"/>
  <c r="G360" i="4"/>
  <c r="G359" i="4"/>
  <c r="G358" i="4"/>
  <c r="G357" i="4"/>
  <c r="H357" i="4" s="1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2" i="4"/>
  <c r="G331" i="4"/>
  <c r="L331" i="4" s="1"/>
  <c r="G330" i="4"/>
  <c r="L330" i="4" s="1"/>
  <c r="G329" i="4"/>
  <c r="G328" i="4"/>
  <c r="H328" i="4" s="1"/>
  <c r="G327" i="4"/>
  <c r="G326" i="4"/>
  <c r="G325" i="4"/>
  <c r="G324" i="4"/>
  <c r="G323" i="4"/>
  <c r="L323" i="4" s="1"/>
  <c r="G322" i="4"/>
  <c r="G321" i="4"/>
  <c r="G320" i="4"/>
  <c r="G319" i="4"/>
  <c r="H319" i="4" s="1"/>
  <c r="G318" i="4"/>
  <c r="H318" i="4" s="1"/>
  <c r="G317" i="4"/>
  <c r="G315" i="4"/>
  <c r="G311" i="4"/>
  <c r="H311" i="4" s="1"/>
  <c r="J89" i="4"/>
  <c r="J150" i="4" s="1"/>
  <c r="G88" i="4"/>
  <c r="K88" i="4" s="1"/>
  <c r="G87" i="4"/>
  <c r="G86" i="4"/>
  <c r="L86" i="4" s="1"/>
  <c r="G85" i="4"/>
  <c r="L85" i="4" s="1"/>
  <c r="G84" i="4"/>
  <c r="H84" i="4" s="1"/>
  <c r="G83" i="4"/>
  <c r="G82" i="4"/>
  <c r="L82" i="4" s="1"/>
  <c r="G81" i="4"/>
  <c r="L81" i="4" s="1"/>
  <c r="G80" i="4"/>
  <c r="H80" i="4" s="1"/>
  <c r="G79" i="4"/>
  <c r="G78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5" i="4"/>
  <c r="G53" i="4"/>
  <c r="G52" i="4"/>
  <c r="G51" i="4"/>
  <c r="L51" i="4" s="1"/>
  <c r="G50" i="4"/>
  <c r="G48" i="4"/>
  <c r="L48" i="4" s="1"/>
  <c r="G47" i="4"/>
  <c r="A22" i="4"/>
  <c r="A24" i="4" s="1"/>
  <c r="A25" i="4" s="1"/>
  <c r="A27" i="4" s="1"/>
  <c r="A28" i="4" s="1"/>
  <c r="A29" i="4" s="1"/>
  <c r="A31" i="4" s="1"/>
  <c r="A32" i="4" s="1"/>
  <c r="A33" i="4" s="1"/>
  <c r="A34" i="4" s="1"/>
  <c r="A36" i="4" s="1"/>
  <c r="A37" i="4" s="1"/>
  <c r="A39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L63" i="4" l="1"/>
  <c r="K338" i="4"/>
  <c r="H350" i="4"/>
  <c r="L326" i="4"/>
  <c r="L339" i="4"/>
  <c r="K351" i="4"/>
  <c r="H76" i="4"/>
  <c r="K65" i="4"/>
  <c r="L327" i="4"/>
  <c r="L352" i="4"/>
  <c r="H390" i="4"/>
  <c r="L66" i="4"/>
  <c r="K355" i="4"/>
  <c r="H379" i="4"/>
  <c r="K315" i="4"/>
  <c r="K57" i="4"/>
  <c r="L344" i="4"/>
  <c r="K380" i="4"/>
  <c r="K409" i="4"/>
  <c r="L52" i="4"/>
  <c r="I70" i="4"/>
  <c r="H345" i="4"/>
  <c r="K59" i="4"/>
  <c r="H71" i="4"/>
  <c r="K321" i="4"/>
  <c r="H334" i="4"/>
  <c r="K346" i="4"/>
  <c r="L347" i="4"/>
  <c r="K73" i="4"/>
  <c r="K372" i="4"/>
  <c r="K335" i="4"/>
  <c r="H371" i="4"/>
  <c r="H337" i="4"/>
  <c r="L373" i="4"/>
  <c r="K431" i="4"/>
  <c r="A40" i="4"/>
  <c r="L417" i="4"/>
  <c r="AE333" i="3"/>
  <c r="K417" i="4"/>
  <c r="K82" i="4"/>
  <c r="K76" i="4"/>
  <c r="K323" i="4"/>
  <c r="K63" i="4"/>
  <c r="K318" i="4"/>
  <c r="K366" i="4"/>
  <c r="L318" i="4"/>
  <c r="K311" i="4"/>
  <c r="L387" i="4"/>
  <c r="H88" i="4"/>
  <c r="L311" i="4"/>
  <c r="K337" i="4"/>
  <c r="H323" i="4"/>
  <c r="L337" i="4"/>
  <c r="H366" i="4"/>
  <c r="K72" i="4"/>
  <c r="H72" i="4"/>
  <c r="L336" i="4"/>
  <c r="K336" i="4"/>
  <c r="H336" i="4"/>
  <c r="M336" i="4" s="1"/>
  <c r="K428" i="4"/>
  <c r="L428" i="4"/>
  <c r="K343" i="4"/>
  <c r="H343" i="4"/>
  <c r="M343" i="4" s="1"/>
  <c r="K375" i="4"/>
  <c r="L375" i="4"/>
  <c r="K70" i="4"/>
  <c r="K86" i="4"/>
  <c r="H331" i="4"/>
  <c r="H339" i="4"/>
  <c r="H372" i="4"/>
  <c r="H407" i="4"/>
  <c r="J440" i="4"/>
  <c r="J441" i="4" s="1"/>
  <c r="K438" i="4"/>
  <c r="L59" i="4"/>
  <c r="L70" i="4"/>
  <c r="K407" i="4"/>
  <c r="H414" i="4"/>
  <c r="H431" i="4"/>
  <c r="H437" i="4"/>
  <c r="L438" i="4"/>
  <c r="H82" i="4"/>
  <c r="K387" i="4"/>
  <c r="K320" i="4"/>
  <c r="L320" i="4"/>
  <c r="H320" i="4"/>
  <c r="K354" i="4"/>
  <c r="L354" i="4"/>
  <c r="K361" i="4"/>
  <c r="L361" i="4"/>
  <c r="L381" i="4"/>
  <c r="K381" i="4"/>
  <c r="H381" i="4"/>
  <c r="K402" i="4"/>
  <c r="L402" i="4"/>
  <c r="L58" i="4"/>
  <c r="H58" i="4"/>
  <c r="K58" i="4"/>
  <c r="K50" i="4"/>
  <c r="L50" i="4"/>
  <c r="K367" i="4"/>
  <c r="L367" i="4"/>
  <c r="K434" i="4"/>
  <c r="L434" i="4"/>
  <c r="K358" i="4"/>
  <c r="H358" i="4"/>
  <c r="K399" i="4"/>
  <c r="I399" i="4"/>
  <c r="K324" i="4"/>
  <c r="H324" i="4"/>
  <c r="L324" i="4"/>
  <c r="K392" i="4"/>
  <c r="I392" i="4"/>
  <c r="H344" i="4"/>
  <c r="H380" i="4"/>
  <c r="K84" i="4"/>
  <c r="L315" i="4"/>
  <c r="H347" i="4"/>
  <c r="H351" i="4"/>
  <c r="L346" i="4"/>
  <c r="H51" i="4"/>
  <c r="K80" i="4"/>
  <c r="K345" i="4"/>
  <c r="H389" i="4"/>
  <c r="L394" i="4"/>
  <c r="L422" i="4"/>
  <c r="L439" i="4" s="1"/>
  <c r="H321" i="4"/>
  <c r="H48" i="4"/>
  <c r="K51" i="4"/>
  <c r="L345" i="4"/>
  <c r="H330" i="4"/>
  <c r="K48" i="4"/>
  <c r="L72" i="4"/>
  <c r="H86" i="4"/>
  <c r="L409" i="4"/>
  <c r="H421" i="4"/>
  <c r="H327" i="4"/>
  <c r="K330" i="4"/>
  <c r="K344" i="4"/>
  <c r="K421" i="4"/>
  <c r="K327" i="4"/>
  <c r="M327" i="4" s="1"/>
  <c r="L338" i="4"/>
  <c r="L68" i="4"/>
  <c r="K68" i="4"/>
  <c r="H68" i="4"/>
  <c r="L69" i="4"/>
  <c r="K69" i="4"/>
  <c r="H69" i="4"/>
  <c r="M69" i="4" s="1"/>
  <c r="K60" i="4"/>
  <c r="H60" i="4"/>
  <c r="M60" i="4" s="1"/>
  <c r="L60" i="4"/>
  <c r="H64" i="4"/>
  <c r="M64" i="4" s="1"/>
  <c r="L64" i="4"/>
  <c r="K64" i="4"/>
  <c r="L61" i="4"/>
  <c r="K61" i="4"/>
  <c r="M61" i="4" s="1"/>
  <c r="H325" i="4"/>
  <c r="L325" i="4"/>
  <c r="K325" i="4"/>
  <c r="L53" i="4"/>
  <c r="I66" i="4"/>
  <c r="K74" i="4"/>
  <c r="H74" i="4"/>
  <c r="M74" i="4" s="1"/>
  <c r="H50" i="4"/>
  <c r="H63" i="4"/>
  <c r="K66" i="4"/>
  <c r="L74" i="4"/>
  <c r="L377" i="4"/>
  <c r="K377" i="4"/>
  <c r="H377" i="4"/>
  <c r="L342" i="4"/>
  <c r="K342" i="4"/>
  <c r="H342" i="4"/>
  <c r="L55" i="4"/>
  <c r="K52" i="4"/>
  <c r="H55" i="4"/>
  <c r="I65" i="4"/>
  <c r="K47" i="4"/>
  <c r="G89" i="4"/>
  <c r="G150" i="4" s="1"/>
  <c r="K55" i="4"/>
  <c r="L65" i="4"/>
  <c r="L75" i="4"/>
  <c r="K75" i="4"/>
  <c r="H75" i="4"/>
  <c r="M75" i="4" s="1"/>
  <c r="L362" i="4"/>
  <c r="K362" i="4"/>
  <c r="H362" i="4"/>
  <c r="L329" i="4"/>
  <c r="K329" i="4"/>
  <c r="H329" i="4"/>
  <c r="H57" i="4"/>
  <c r="L62" i="4"/>
  <c r="I67" i="4"/>
  <c r="H47" i="4"/>
  <c r="L57" i="4"/>
  <c r="H62" i="4"/>
  <c r="K67" i="4"/>
  <c r="K71" i="4"/>
  <c r="L73" i="4"/>
  <c r="I73" i="4"/>
  <c r="M73" i="4" s="1"/>
  <c r="L79" i="4"/>
  <c r="K79" i="4"/>
  <c r="H79" i="4"/>
  <c r="L83" i="4"/>
  <c r="K83" i="4"/>
  <c r="H83" i="4"/>
  <c r="L87" i="4"/>
  <c r="K87" i="4"/>
  <c r="H87" i="4"/>
  <c r="L349" i="4"/>
  <c r="K349" i="4"/>
  <c r="H349" i="4"/>
  <c r="M349" i="4" s="1"/>
  <c r="I52" i="4"/>
  <c r="M52" i="4" s="1"/>
  <c r="L47" i="4"/>
  <c r="I59" i="4"/>
  <c r="M59" i="4" s="1"/>
  <c r="K62" i="4"/>
  <c r="L67" i="4"/>
  <c r="L71" i="4"/>
  <c r="L317" i="4"/>
  <c r="K317" i="4"/>
  <c r="H317" i="4"/>
  <c r="L356" i="4"/>
  <c r="K356" i="4"/>
  <c r="H356" i="4"/>
  <c r="K359" i="4"/>
  <c r="H359" i="4"/>
  <c r="L359" i="4"/>
  <c r="K53" i="4"/>
  <c r="H53" i="4"/>
  <c r="H61" i="4"/>
  <c r="L78" i="4"/>
  <c r="K78" i="4"/>
  <c r="H78" i="4"/>
  <c r="L383" i="4"/>
  <c r="K383" i="4"/>
  <c r="H383" i="4"/>
  <c r="M383" i="4" s="1"/>
  <c r="L76" i="4"/>
  <c r="L80" i="4"/>
  <c r="L84" i="4"/>
  <c r="L88" i="4"/>
  <c r="L335" i="4"/>
  <c r="L363" i="4"/>
  <c r="K363" i="4"/>
  <c r="H363" i="4"/>
  <c r="L374" i="4"/>
  <c r="K374" i="4"/>
  <c r="H374" i="4"/>
  <c r="M374" i="4" s="1"/>
  <c r="L384" i="4"/>
  <c r="K384" i="4"/>
  <c r="H384" i="4"/>
  <c r="L432" i="4"/>
  <c r="K432" i="4"/>
  <c r="H432" i="4"/>
  <c r="H335" i="4"/>
  <c r="L341" i="4"/>
  <c r="K341" i="4"/>
  <c r="H341" i="4"/>
  <c r="L360" i="4"/>
  <c r="K360" i="4"/>
  <c r="H360" i="4"/>
  <c r="L378" i="4"/>
  <c r="K378" i="4"/>
  <c r="H378" i="4"/>
  <c r="M378" i="4" s="1"/>
  <c r="L393" i="4"/>
  <c r="K393" i="4"/>
  <c r="H393" i="4"/>
  <c r="L433" i="4"/>
  <c r="K433" i="4"/>
  <c r="H433" i="4"/>
  <c r="H322" i="4"/>
  <c r="L348" i="4"/>
  <c r="K348" i="4"/>
  <c r="H348" i="4"/>
  <c r="L364" i="4"/>
  <c r="K364" i="4"/>
  <c r="H364" i="4"/>
  <c r="L403" i="4"/>
  <c r="K403" i="4"/>
  <c r="I403" i="4"/>
  <c r="L408" i="4"/>
  <c r="K408" i="4"/>
  <c r="H408" i="4"/>
  <c r="L418" i="4"/>
  <c r="K418" i="4"/>
  <c r="H418" i="4"/>
  <c r="G312" i="4"/>
  <c r="G420" i="4" s="1"/>
  <c r="K319" i="4"/>
  <c r="K322" i="4"/>
  <c r="L332" i="4"/>
  <c r="K332" i="4"/>
  <c r="H332" i="4"/>
  <c r="L368" i="4"/>
  <c r="K368" i="4"/>
  <c r="H368" i="4"/>
  <c r="L404" i="4"/>
  <c r="K404" i="4"/>
  <c r="H404" i="4"/>
  <c r="L415" i="4"/>
  <c r="K415" i="4"/>
  <c r="H415" i="4"/>
  <c r="M415" i="4" s="1"/>
  <c r="L429" i="4"/>
  <c r="K429" i="4"/>
  <c r="H429" i="4"/>
  <c r="H81" i="4"/>
  <c r="H85" i="4"/>
  <c r="H315" i="4"/>
  <c r="L319" i="4"/>
  <c r="L322" i="4"/>
  <c r="K326" i="4"/>
  <c r="H326" i="4"/>
  <c r="M326" i="4" s="1"/>
  <c r="L328" i="4"/>
  <c r="K328" i="4"/>
  <c r="K352" i="4"/>
  <c r="H352" i="4"/>
  <c r="L369" i="4"/>
  <c r="K369" i="4"/>
  <c r="H369" i="4"/>
  <c r="L395" i="4"/>
  <c r="K395" i="4"/>
  <c r="H395" i="4"/>
  <c r="M395" i="4" s="1"/>
  <c r="L416" i="4"/>
  <c r="K416" i="4"/>
  <c r="H416" i="4"/>
  <c r="L423" i="4"/>
  <c r="K423" i="4"/>
  <c r="H423" i="4"/>
  <c r="K81" i="4"/>
  <c r="K85" i="4"/>
  <c r="L321" i="4"/>
  <c r="L334" i="4"/>
  <c r="K334" i="4"/>
  <c r="L400" i="4"/>
  <c r="K400" i="4"/>
  <c r="H400" i="4"/>
  <c r="L435" i="4"/>
  <c r="K435" i="4"/>
  <c r="H435" i="4"/>
  <c r="L340" i="4"/>
  <c r="K340" i="4"/>
  <c r="H340" i="4"/>
  <c r="M340" i="4" s="1"/>
  <c r="L343" i="4"/>
  <c r="L353" i="4"/>
  <c r="K353" i="4"/>
  <c r="H353" i="4"/>
  <c r="L370" i="4"/>
  <c r="K370" i="4"/>
  <c r="H370" i="4"/>
  <c r="K373" i="4"/>
  <c r="H373" i="4"/>
  <c r="L376" i="4"/>
  <c r="K376" i="4"/>
  <c r="H376" i="4"/>
  <c r="M376" i="4" s="1"/>
  <c r="L382" i="4"/>
  <c r="K382" i="4"/>
  <c r="H382" i="4"/>
  <c r="L401" i="4"/>
  <c r="K401" i="4"/>
  <c r="H401" i="4"/>
  <c r="L411" i="4"/>
  <c r="K411" i="4"/>
  <c r="H411" i="4"/>
  <c r="G439" i="4"/>
  <c r="K350" i="4"/>
  <c r="L351" i="4"/>
  <c r="K357" i="4"/>
  <c r="L358" i="4"/>
  <c r="K365" i="4"/>
  <c r="K371" i="4"/>
  <c r="L372" i="4"/>
  <c r="M372" i="4" s="1"/>
  <c r="K379" i="4"/>
  <c r="L380" i="4"/>
  <c r="H388" i="4"/>
  <c r="L389" i="4"/>
  <c r="K390" i="4"/>
  <c r="M390" i="4" s="1"/>
  <c r="L392" i="4"/>
  <c r="H397" i="4"/>
  <c r="K398" i="4"/>
  <c r="L399" i="4"/>
  <c r="K406" i="4"/>
  <c r="H412" i="4"/>
  <c r="L414" i="4"/>
  <c r="K419" i="4"/>
  <c r="H424" i="4"/>
  <c r="H430" i="4"/>
  <c r="M430" i="4" s="1"/>
  <c r="L431" i="4"/>
  <c r="H436" i="4"/>
  <c r="L437" i="4"/>
  <c r="F439" i="4"/>
  <c r="L350" i="4"/>
  <c r="H355" i="4"/>
  <c r="L357" i="4"/>
  <c r="L365" i="4"/>
  <c r="L371" i="4"/>
  <c r="L379" i="4"/>
  <c r="K388" i="4"/>
  <c r="L390" i="4"/>
  <c r="K397" i="4"/>
  <c r="L398" i="4"/>
  <c r="L406" i="4"/>
  <c r="K412" i="4"/>
  <c r="L419" i="4"/>
  <c r="K424" i="4"/>
  <c r="K430" i="4"/>
  <c r="K436" i="4"/>
  <c r="L388" i="4"/>
  <c r="L397" i="4"/>
  <c r="L412" i="4"/>
  <c r="L424" i="4"/>
  <c r="L430" i="4"/>
  <c r="L436" i="4"/>
  <c r="K331" i="4"/>
  <c r="H338" i="4"/>
  <c r="M338" i="4" s="1"/>
  <c r="K339" i="4"/>
  <c r="H346" i="4"/>
  <c r="K347" i="4"/>
  <c r="H354" i="4"/>
  <c r="L355" i="4"/>
  <c r="H361" i="4"/>
  <c r="H367" i="4"/>
  <c r="M367" i="4" s="1"/>
  <c r="H375" i="4"/>
  <c r="M375" i="4" s="1"/>
  <c r="H394" i="4"/>
  <c r="I402" i="4"/>
  <c r="H409" i="4"/>
  <c r="M409" i="4" s="1"/>
  <c r="H422" i="4"/>
  <c r="H428" i="4"/>
  <c r="M428" i="4" s="1"/>
  <c r="H434" i="4"/>
  <c r="M62" i="4" l="1"/>
  <c r="K439" i="4"/>
  <c r="M371" i="4"/>
  <c r="M350" i="4"/>
  <c r="M382" i="4"/>
  <c r="M353" i="4"/>
  <c r="M334" i="4"/>
  <c r="M416" i="4"/>
  <c r="M429" i="4"/>
  <c r="M332" i="4"/>
  <c r="M341" i="4"/>
  <c r="M57" i="4"/>
  <c r="M344" i="4"/>
  <c r="M321" i="4"/>
  <c r="M351" i="4"/>
  <c r="M380" i="4"/>
  <c r="M354" i="4"/>
  <c r="M431" i="4"/>
  <c r="M70" i="4"/>
  <c r="M71" i="4"/>
  <c r="M434" i="4"/>
  <c r="M436" i="4"/>
  <c r="M423" i="4"/>
  <c r="M352" i="4"/>
  <c r="M368" i="4"/>
  <c r="M408" i="4"/>
  <c r="M322" i="4"/>
  <c r="M384" i="4"/>
  <c r="M329" i="4"/>
  <c r="M347" i="4"/>
  <c r="M320" i="4"/>
  <c r="M339" i="4"/>
  <c r="M337" i="4"/>
  <c r="M346" i="4"/>
  <c r="M355" i="4"/>
  <c r="M397" i="4"/>
  <c r="M411" i="4"/>
  <c r="M401" i="4"/>
  <c r="M373" i="4"/>
  <c r="M370" i="4"/>
  <c r="M435" i="4"/>
  <c r="M369" i="4"/>
  <c r="M418" i="4"/>
  <c r="M348" i="4"/>
  <c r="M433" i="4"/>
  <c r="M393" i="4"/>
  <c r="M432" i="4"/>
  <c r="M335" i="4"/>
  <c r="M53" i="4"/>
  <c r="M67" i="4"/>
  <c r="M65" i="4"/>
  <c r="M342" i="4"/>
  <c r="M377" i="4"/>
  <c r="M63" i="4"/>
  <c r="M66" i="4"/>
  <c r="M68" i="4"/>
  <c r="M315" i="4"/>
  <c r="M392" i="4"/>
  <c r="M58" i="4"/>
  <c r="M381" i="4"/>
  <c r="M72" i="4"/>
  <c r="M345" i="4"/>
  <c r="M379" i="4"/>
  <c r="M76" i="4"/>
  <c r="L89" i="4"/>
  <c r="K89" i="4"/>
  <c r="A41" i="4"/>
  <c r="A42" i="4" s="1"/>
  <c r="A44" i="4" s="1"/>
  <c r="A45" i="4" s="1"/>
  <c r="A47" i="4" s="1"/>
  <c r="A48" i="4" s="1"/>
  <c r="A49" i="4" s="1"/>
  <c r="A50" i="4" s="1"/>
  <c r="A51" i="4" s="1"/>
  <c r="A52" i="4" s="1"/>
  <c r="A53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82" i="4" s="1"/>
  <c r="A83" i="4" s="1"/>
  <c r="A84" i="4" s="1"/>
  <c r="A85" i="4" s="1"/>
  <c r="A86" i="4" s="1"/>
  <c r="A87" i="4" s="1"/>
  <c r="A88" i="4" s="1"/>
  <c r="A91" i="4" s="1"/>
  <c r="A92" i="4" s="1"/>
  <c r="A93" i="4" s="1"/>
  <c r="A94" i="4" s="1"/>
  <c r="A95" i="4" s="1"/>
  <c r="A97" i="4" s="1"/>
  <c r="A98" i="4" s="1"/>
  <c r="A99" i="4" s="1"/>
  <c r="A100" i="4" s="1"/>
  <c r="A102" i="4" s="1"/>
  <c r="A103" i="4" s="1"/>
  <c r="A105" i="4" s="1"/>
  <c r="A106" i="4" s="1"/>
  <c r="A108" i="4" s="1"/>
  <c r="A109" i="4" s="1"/>
  <c r="A110" i="4" s="1"/>
  <c r="A112" i="4" s="1"/>
  <c r="A113" i="4" s="1"/>
  <c r="A114" i="4" s="1"/>
  <c r="A115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M323" i="4"/>
  <c r="M417" i="4"/>
  <c r="M82" i="4"/>
  <c r="M318" i="4"/>
  <c r="M366" i="4"/>
  <c r="M387" i="4"/>
  <c r="M422" i="4"/>
  <c r="M362" i="4"/>
  <c r="M80" i="4"/>
  <c r="M86" i="4"/>
  <c r="M438" i="4"/>
  <c r="M311" i="4"/>
  <c r="M398" i="4"/>
  <c r="M328" i="4"/>
  <c r="M402" i="4"/>
  <c r="M399" i="4"/>
  <c r="M365" i="4"/>
  <c r="M88" i="4"/>
  <c r="M317" i="4"/>
  <c r="M324" i="4"/>
  <c r="M358" i="4"/>
  <c r="M414" i="4"/>
  <c r="M389" i="4"/>
  <c r="M363" i="4"/>
  <c r="M87" i="4"/>
  <c r="M330" i="4"/>
  <c r="M421" i="4"/>
  <c r="M84" i="4"/>
  <c r="M407" i="4"/>
  <c r="M437" i="4"/>
  <c r="M356" i="4"/>
  <c r="M325" i="4"/>
  <c r="M331" i="4"/>
  <c r="M51" i="4"/>
  <c r="M394" i="4"/>
  <c r="M361" i="4"/>
  <c r="M406" i="4"/>
  <c r="M79" i="4"/>
  <c r="M50" i="4"/>
  <c r="M48" i="4"/>
  <c r="M400" i="4"/>
  <c r="M319" i="4"/>
  <c r="M364" i="4"/>
  <c r="F440" i="4"/>
  <c r="F441" i="4" s="1"/>
  <c r="G440" i="4"/>
  <c r="G441" i="4" s="1"/>
  <c r="M403" i="4"/>
  <c r="M419" i="4"/>
  <c r="M85" i="4"/>
  <c r="M55" i="4"/>
  <c r="M412" i="4"/>
  <c r="M388" i="4"/>
  <c r="M357" i="4"/>
  <c r="M404" i="4"/>
  <c r="I420" i="4"/>
  <c r="I440" i="4" s="1"/>
  <c r="M359" i="4"/>
  <c r="M424" i="4"/>
  <c r="M78" i="4"/>
  <c r="M83" i="4"/>
  <c r="L150" i="4"/>
  <c r="I89" i="4"/>
  <c r="I150" i="4" s="1"/>
  <c r="I441" i="4" s="1"/>
  <c r="H89" i="4"/>
  <c r="H150" i="4" s="1"/>
  <c r="M47" i="4"/>
  <c r="K150" i="4"/>
  <c r="M81" i="4"/>
  <c r="M360" i="4"/>
  <c r="H439" i="4"/>
  <c r="L312" i="4"/>
  <c r="L420" i="4" s="1"/>
  <c r="K312" i="4"/>
  <c r="K420" i="4" s="1"/>
  <c r="H312" i="4"/>
  <c r="H420" i="4" s="1"/>
  <c r="M89" i="4" l="1"/>
  <c r="M439" i="4"/>
  <c r="A134" i="4"/>
  <c r="A135" i="4" s="1"/>
  <c r="A137" i="4" s="1"/>
  <c r="A139" i="4" s="1"/>
  <c r="A140" i="4" s="1"/>
  <c r="A141" i="4" s="1"/>
  <c r="A143" i="4" s="1"/>
  <c r="A144" i="4" s="1"/>
  <c r="A145" i="4" s="1"/>
  <c r="A146" i="4" s="1"/>
  <c r="A147" i="4" s="1"/>
  <c r="A148" i="4" s="1"/>
  <c r="A151" i="4" s="1"/>
  <c r="A152" i="4" s="1"/>
  <c r="A153" i="4" s="1"/>
  <c r="A154" i="4" s="1"/>
  <c r="A156" i="4" s="1"/>
  <c r="A157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H440" i="4"/>
  <c r="H441" i="4" s="1"/>
  <c r="M150" i="4"/>
  <c r="M312" i="4"/>
  <c r="M420" i="4" s="1"/>
  <c r="M440" i="4" s="1"/>
  <c r="K440" i="4"/>
  <c r="K441" i="4" s="1"/>
  <c r="L440" i="4"/>
  <c r="L441" i="4" s="1"/>
  <c r="M441" i="4" l="1"/>
  <c r="A178" i="4"/>
  <c r="A180" i="4" s="1"/>
  <c r="A181" i="4" s="1"/>
  <c r="A183" i="4" s="1"/>
  <c r="A184" i="4" s="1"/>
  <c r="A186" i="4" s="1"/>
  <c r="A187" i="4" s="1"/>
  <c r="A188" i="4" l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4" i="4" s="1"/>
  <c r="A205" i="4" s="1"/>
  <c r="A206" i="4" s="1"/>
  <c r="A207" i="4" s="1"/>
  <c r="A208" i="4" s="1"/>
  <c r="A211" i="4" s="1"/>
  <c r="A212" i="4" s="1"/>
  <c r="A213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7" i="4" s="1"/>
  <c r="A238" i="4" s="1"/>
  <c r="A240" i="4" s="1"/>
  <c r="A241" i="4" s="1"/>
  <c r="A243" i="4" s="1"/>
  <c r="A244" i="4" s="1"/>
  <c r="A245" i="4" s="1"/>
  <c r="A246" i="4" s="1"/>
  <c r="A247" i="4" s="1"/>
  <c r="A249" i="4" s="1"/>
  <c r="A250" i="4" s="1"/>
  <c r="A251" i="4" s="1"/>
  <c r="A252" i="4" s="1"/>
  <c r="A253" i="4" s="1"/>
  <c r="A255" i="4" s="1"/>
  <c r="A256" i="4" s="1"/>
  <c r="A257" i="4" s="1"/>
  <c r="A258" i="4" s="1"/>
  <c r="Z431" i="3"/>
  <c r="AF431" i="3" s="1"/>
  <c r="Z430" i="3"/>
  <c r="AF430" i="3" s="1"/>
  <c r="N421" i="3"/>
  <c r="A259" i="4" l="1"/>
  <c r="A261" i="4" s="1"/>
  <c r="A262" i="4" s="1"/>
  <c r="A263" i="4" s="1"/>
  <c r="A264" i="4" s="1"/>
  <c r="A265" i="4" s="1"/>
  <c r="A267" i="4" s="1"/>
  <c r="A268" i="4" s="1"/>
  <c r="A269" i="4" s="1"/>
  <c r="AC430" i="3"/>
  <c r="AA430" i="3"/>
  <c r="AA431" i="3"/>
  <c r="AC431" i="3"/>
  <c r="AJ19" i="3"/>
  <c r="AJ18" i="3"/>
  <c r="AJ17" i="3"/>
  <c r="AJ16" i="3"/>
  <c r="AJ15" i="3"/>
  <c r="N15" i="3" s="1"/>
  <c r="AJ14" i="3"/>
  <c r="AJ13" i="3"/>
  <c r="AJ12" i="3"/>
  <c r="AJ11" i="3"/>
  <c r="AJ10" i="3"/>
  <c r="AJ9" i="3"/>
  <c r="AJ8" i="3"/>
  <c r="AJ7" i="3"/>
  <c r="AJ20" i="3" l="1"/>
  <c r="A270" i="4"/>
  <c r="A272" i="4" s="1"/>
  <c r="A273" i="4" s="1"/>
  <c r="A274" i="4" s="1"/>
  <c r="A275" i="4" s="1"/>
  <c r="A276" i="4" s="1"/>
  <c r="AE430" i="3"/>
  <c r="AE431" i="3"/>
  <c r="Z419" i="3"/>
  <c r="Z418" i="3"/>
  <c r="Z407" i="3"/>
  <c r="AF407" i="3" s="1"/>
  <c r="X407" i="3"/>
  <c r="Y407" i="3" s="1"/>
  <c r="S407" i="3"/>
  <c r="T407" i="3" s="1"/>
  <c r="N407" i="3"/>
  <c r="J407" i="3"/>
  <c r="G407" i="3"/>
  <c r="F400" i="3"/>
  <c r="X400" i="3" s="1"/>
  <c r="Y400" i="3" s="1"/>
  <c r="F365" i="3"/>
  <c r="F364" i="3"/>
  <c r="Z364" i="3" s="1"/>
  <c r="AF364" i="3" s="1"/>
  <c r="F363" i="3"/>
  <c r="X363" i="3" s="1"/>
  <c r="Y363" i="3" s="1"/>
  <c r="F362" i="3"/>
  <c r="N362" i="3" s="1"/>
  <c r="P362" i="3" s="1"/>
  <c r="F361" i="3"/>
  <c r="X361" i="3" s="1"/>
  <c r="Y361" i="3" s="1"/>
  <c r="F360" i="3"/>
  <c r="N360" i="3" s="1"/>
  <c r="P360" i="3" s="1"/>
  <c r="F359" i="3"/>
  <c r="X359" i="3" s="1"/>
  <c r="Y359" i="3" s="1"/>
  <c r="F358" i="3"/>
  <c r="S358" i="3" s="1"/>
  <c r="T358" i="3" s="1"/>
  <c r="F357" i="3"/>
  <c r="Z357" i="3" s="1"/>
  <c r="AC357" i="3" s="1"/>
  <c r="F356" i="3"/>
  <c r="Z356" i="3" s="1"/>
  <c r="AF356" i="3" s="1"/>
  <c r="Z390" i="3"/>
  <c r="AF390" i="3" s="1"/>
  <c r="X390" i="3"/>
  <c r="Y390" i="3" s="1"/>
  <c r="S390" i="3"/>
  <c r="T390" i="3" s="1"/>
  <c r="N390" i="3"/>
  <c r="O390" i="3" s="1"/>
  <c r="J390" i="3"/>
  <c r="G390" i="3"/>
  <c r="Z314" i="3"/>
  <c r="AF314" i="3" s="1"/>
  <c r="X314" i="3"/>
  <c r="Y314" i="3" s="1"/>
  <c r="S314" i="3"/>
  <c r="T314" i="3" s="1"/>
  <c r="N314" i="3"/>
  <c r="J314" i="3"/>
  <c r="G314" i="3"/>
  <c r="X277" i="3"/>
  <c r="Y277" i="3" s="1"/>
  <c r="S277" i="3"/>
  <c r="T277" i="3" s="1"/>
  <c r="N277" i="3"/>
  <c r="J277" i="3"/>
  <c r="G277" i="3"/>
  <c r="AJ261" i="3"/>
  <c r="AI261" i="3"/>
  <c r="AH261" i="3"/>
  <c r="AG261" i="3"/>
  <c r="AF261" i="3"/>
  <c r="AE261" i="3"/>
  <c r="AD261" i="3"/>
  <c r="AC261" i="3"/>
  <c r="AB261" i="3"/>
  <c r="AA261" i="3"/>
  <c r="Z261" i="3"/>
  <c r="V261" i="3"/>
  <c r="R261" i="3"/>
  <c r="Q261" i="3"/>
  <c r="O261" i="3"/>
  <c r="M261" i="3"/>
  <c r="L261" i="3"/>
  <c r="K261" i="3"/>
  <c r="I261" i="3"/>
  <c r="H261" i="3"/>
  <c r="U260" i="3"/>
  <c r="F261" i="3"/>
  <c r="X260" i="3"/>
  <c r="Y260" i="3" s="1"/>
  <c r="S260" i="3"/>
  <c r="J260" i="3"/>
  <c r="G260" i="3"/>
  <c r="X259" i="3"/>
  <c r="Y259" i="3" s="1"/>
  <c r="S259" i="3"/>
  <c r="T259" i="3" s="1"/>
  <c r="N259" i="3"/>
  <c r="P259" i="3" s="1"/>
  <c r="J259" i="3"/>
  <c r="G259" i="3"/>
  <c r="F255" i="3"/>
  <c r="AJ243" i="3"/>
  <c r="AI243" i="3"/>
  <c r="AH243" i="3"/>
  <c r="AG243" i="3"/>
  <c r="AF243" i="3"/>
  <c r="AE243" i="3"/>
  <c r="AD243" i="3"/>
  <c r="AC243" i="3"/>
  <c r="AB243" i="3"/>
  <c r="AA243" i="3"/>
  <c r="Z243" i="3"/>
  <c r="V243" i="3"/>
  <c r="U243" i="3"/>
  <c r="R243" i="3"/>
  <c r="Q243" i="3"/>
  <c r="O243" i="3"/>
  <c r="M243" i="3"/>
  <c r="L243" i="3"/>
  <c r="K243" i="3"/>
  <c r="I243" i="3"/>
  <c r="H243" i="3"/>
  <c r="F243" i="3"/>
  <c r="AJ240" i="3"/>
  <c r="AI240" i="3"/>
  <c r="AH240" i="3"/>
  <c r="AG240" i="3"/>
  <c r="AF240" i="3"/>
  <c r="AE240" i="3"/>
  <c r="AD240" i="3"/>
  <c r="AC240" i="3"/>
  <c r="AB240" i="3"/>
  <c r="AA240" i="3"/>
  <c r="Z240" i="3"/>
  <c r="V240" i="3"/>
  <c r="U240" i="3"/>
  <c r="R240" i="3"/>
  <c r="Q240" i="3"/>
  <c r="M240" i="3"/>
  <c r="L240" i="3"/>
  <c r="K240" i="3"/>
  <c r="I240" i="3"/>
  <c r="H240" i="3"/>
  <c r="F231" i="3"/>
  <c r="X223" i="3"/>
  <c r="Y223" i="3" s="1"/>
  <c r="S223" i="3"/>
  <c r="T223" i="3" s="1"/>
  <c r="N223" i="3"/>
  <c r="J223" i="3"/>
  <c r="G223" i="3"/>
  <c r="X222" i="3"/>
  <c r="Y222" i="3" s="1"/>
  <c r="S222" i="3"/>
  <c r="T222" i="3" s="1"/>
  <c r="N222" i="3"/>
  <c r="J222" i="3"/>
  <c r="G222" i="3"/>
  <c r="AD282" i="3" l="1"/>
  <c r="AE282" i="3"/>
  <c r="AF282" i="3"/>
  <c r="AG282" i="3"/>
  <c r="AH282" i="3"/>
  <c r="AI282" i="3"/>
  <c r="AJ282" i="3"/>
  <c r="Z282" i="3"/>
  <c r="AA282" i="3"/>
  <c r="AB282" i="3"/>
  <c r="AC282" i="3"/>
  <c r="W314" i="3"/>
  <c r="A277" i="4"/>
  <c r="A279" i="4" s="1"/>
  <c r="A282" i="4" s="1"/>
  <c r="A283" i="4" s="1"/>
  <c r="A284" i="4" s="1"/>
  <c r="A285" i="4" s="1"/>
  <c r="A286" i="4" s="1"/>
  <c r="A287" i="4" s="1"/>
  <c r="A288" i="4" s="1"/>
  <c r="W407" i="3"/>
  <c r="W277" i="3"/>
  <c r="T260" i="3"/>
  <c r="W260" i="3"/>
  <c r="P223" i="3"/>
  <c r="W223" i="3"/>
  <c r="N418" i="3"/>
  <c r="O418" i="3" s="1"/>
  <c r="AF418" i="3"/>
  <c r="AA418" i="3"/>
  <c r="AC418" i="3"/>
  <c r="X418" i="3"/>
  <c r="Y418" i="3" s="1"/>
  <c r="N400" i="3"/>
  <c r="O400" i="3" s="1"/>
  <c r="G418" i="3"/>
  <c r="S418" i="3"/>
  <c r="N419" i="3"/>
  <c r="J418" i="3"/>
  <c r="AF419" i="3"/>
  <c r="AC419" i="3"/>
  <c r="AA419" i="3"/>
  <c r="Z400" i="3"/>
  <c r="AF400" i="3" s="1"/>
  <c r="G400" i="3"/>
  <c r="G419" i="3"/>
  <c r="S419" i="3"/>
  <c r="T419" i="3" s="1"/>
  <c r="X419" i="3"/>
  <c r="Y419" i="3" s="1"/>
  <c r="J400" i="3"/>
  <c r="J419" i="3"/>
  <c r="AA407" i="3"/>
  <c r="P407" i="3"/>
  <c r="AC407" i="3"/>
  <c r="S400" i="3"/>
  <c r="T400" i="3" s="1"/>
  <c r="G356" i="3"/>
  <c r="Z361" i="3"/>
  <c r="AC361" i="3" s="1"/>
  <c r="J359" i="3"/>
  <c r="Z363" i="3"/>
  <c r="AC363" i="3" s="1"/>
  <c r="S356" i="3"/>
  <c r="T356" i="3" s="1"/>
  <c r="Z359" i="3"/>
  <c r="AC359" i="3" s="1"/>
  <c r="J363" i="3"/>
  <c r="G357" i="3"/>
  <c r="S360" i="3"/>
  <c r="T360" i="3" s="1"/>
  <c r="S357" i="3"/>
  <c r="T357" i="3" s="1"/>
  <c r="J361" i="3"/>
  <c r="N364" i="3"/>
  <c r="P364" i="3" s="1"/>
  <c r="G358" i="3"/>
  <c r="J356" i="3"/>
  <c r="J357" i="3"/>
  <c r="J358" i="3"/>
  <c r="X358" i="3"/>
  <c r="Y358" i="3" s="1"/>
  <c r="N359" i="3"/>
  <c r="P359" i="3" s="1"/>
  <c r="G360" i="3"/>
  <c r="X360" i="3"/>
  <c r="Y360" i="3" s="1"/>
  <c r="N361" i="3"/>
  <c r="P361" i="3" s="1"/>
  <c r="G362" i="3"/>
  <c r="X362" i="3"/>
  <c r="Y362" i="3" s="1"/>
  <c r="N363" i="3"/>
  <c r="P363" i="3" s="1"/>
  <c r="S364" i="3"/>
  <c r="T364" i="3" s="1"/>
  <c r="S362" i="3"/>
  <c r="T362" i="3" s="1"/>
  <c r="N356" i="3"/>
  <c r="X356" i="3"/>
  <c r="Y356" i="3" s="1"/>
  <c r="N357" i="3"/>
  <c r="X357" i="3"/>
  <c r="Y357" i="3" s="1"/>
  <c r="N358" i="3"/>
  <c r="P358" i="3" s="1"/>
  <c r="Z358" i="3"/>
  <c r="AF358" i="3" s="1"/>
  <c r="S359" i="3"/>
  <c r="T359" i="3" s="1"/>
  <c r="J360" i="3"/>
  <c r="Z360" i="3"/>
  <c r="AF360" i="3" s="1"/>
  <c r="S361" i="3"/>
  <c r="T361" i="3" s="1"/>
  <c r="J362" i="3"/>
  <c r="Z362" i="3"/>
  <c r="AF362" i="3" s="1"/>
  <c r="S363" i="3"/>
  <c r="T363" i="3" s="1"/>
  <c r="G364" i="3"/>
  <c r="X364" i="3"/>
  <c r="Y364" i="3" s="1"/>
  <c r="G359" i="3"/>
  <c r="G361" i="3"/>
  <c r="G363" i="3"/>
  <c r="J364" i="3"/>
  <c r="AA356" i="3"/>
  <c r="AA364" i="3"/>
  <c r="AC356" i="3"/>
  <c r="AF357" i="3"/>
  <c r="AC364" i="3"/>
  <c r="AA357" i="3"/>
  <c r="AE357" i="3" s="1"/>
  <c r="AA390" i="3"/>
  <c r="W390" i="3"/>
  <c r="AC390" i="3"/>
  <c r="AA314" i="3"/>
  <c r="O314" i="3"/>
  <c r="AC314" i="3"/>
  <c r="W222" i="3"/>
  <c r="P277" i="3"/>
  <c r="W259" i="3"/>
  <c r="P222" i="3"/>
  <c r="AF361" i="3" l="1"/>
  <c r="A289" i="4"/>
  <c r="A291" i="4" s="1"/>
  <c r="A292" i="4" s="1"/>
  <c r="A293" i="4" s="1"/>
  <c r="A294" i="4" s="1"/>
  <c r="A295" i="4" s="1"/>
  <c r="A296" i="4" s="1"/>
  <c r="A297" i="4" s="1"/>
  <c r="A298" i="4" s="1"/>
  <c r="A299" i="4" s="1"/>
  <c r="AC400" i="3"/>
  <c r="AE419" i="3"/>
  <c r="AE407" i="3"/>
  <c r="AA361" i="3"/>
  <c r="AE361" i="3" s="1"/>
  <c r="W419" i="3"/>
  <c r="W360" i="3"/>
  <c r="W359" i="3"/>
  <c r="AA400" i="3"/>
  <c r="W400" i="3"/>
  <c r="AE418" i="3"/>
  <c r="O419" i="3"/>
  <c r="T418" i="3"/>
  <c r="W418" i="3"/>
  <c r="AA358" i="3"/>
  <c r="AC362" i="3"/>
  <c r="AA363" i="3"/>
  <c r="AE363" i="3" s="1"/>
  <c r="W361" i="3"/>
  <c r="AF359" i="3"/>
  <c r="AA359" i="3"/>
  <c r="AE359" i="3" s="1"/>
  <c r="AF363" i="3"/>
  <c r="AC358" i="3"/>
  <c r="W364" i="3"/>
  <c r="AA360" i="3"/>
  <c r="AE364" i="3"/>
  <c r="W356" i="3"/>
  <c r="P356" i="3"/>
  <c r="W363" i="3"/>
  <c r="AA362" i="3"/>
  <c r="W357" i="3"/>
  <c r="P357" i="3"/>
  <c r="AC360" i="3"/>
  <c r="W362" i="3"/>
  <c r="W358" i="3"/>
  <c r="AE356" i="3"/>
  <c r="AE390" i="3"/>
  <c r="AE314" i="3"/>
  <c r="AE360" i="3" l="1"/>
  <c r="A300" i="4"/>
  <c r="A303" i="4" s="1"/>
  <c r="A304" i="4" s="1"/>
  <c r="AE400" i="3"/>
  <c r="AE362" i="3"/>
  <c r="AE358" i="3"/>
  <c r="A305" i="4" l="1"/>
  <c r="A307" i="4" s="1"/>
  <c r="A308" i="4" s="1"/>
  <c r="A311" i="4" s="1"/>
  <c r="A312" i="4" s="1"/>
  <c r="A313" i="4" s="1"/>
  <c r="A314" i="4" s="1"/>
  <c r="A315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F186" i="3"/>
  <c r="H107" i="3"/>
  <c r="I107" i="3"/>
  <c r="K107" i="3"/>
  <c r="L107" i="3"/>
  <c r="M107" i="3"/>
  <c r="P107" i="3"/>
  <c r="Q107" i="3"/>
  <c r="R107" i="3"/>
  <c r="U107" i="3"/>
  <c r="V107" i="3"/>
  <c r="AB107" i="3"/>
  <c r="AD107" i="3"/>
  <c r="AG107" i="3"/>
  <c r="AH107" i="3"/>
  <c r="AI107" i="3"/>
  <c r="AJ107" i="3"/>
  <c r="H136" i="3"/>
  <c r="I136" i="3"/>
  <c r="K136" i="3"/>
  <c r="L136" i="3"/>
  <c r="M136" i="3"/>
  <c r="Q136" i="3"/>
  <c r="R136" i="3"/>
  <c r="U136" i="3"/>
  <c r="V136" i="3"/>
  <c r="Z136" i="3"/>
  <c r="AA136" i="3"/>
  <c r="AB136" i="3"/>
  <c r="AC136" i="3"/>
  <c r="AD136" i="3"/>
  <c r="AE136" i="3"/>
  <c r="AF136" i="3"/>
  <c r="AG136" i="3"/>
  <c r="AH136" i="3"/>
  <c r="AI136" i="3"/>
  <c r="AJ136" i="3"/>
  <c r="X135" i="3"/>
  <c r="Y135" i="3" s="1"/>
  <c r="S135" i="3"/>
  <c r="T135" i="3" s="1"/>
  <c r="N135" i="3"/>
  <c r="P135" i="3" s="1"/>
  <c r="J135" i="3"/>
  <c r="G135" i="3"/>
  <c r="X134" i="3"/>
  <c r="Y134" i="3" s="1"/>
  <c r="S134" i="3"/>
  <c r="T134" i="3" s="1"/>
  <c r="N134" i="3"/>
  <c r="J134" i="3"/>
  <c r="G134" i="3"/>
  <c r="G120" i="3"/>
  <c r="J120" i="3"/>
  <c r="N120" i="3"/>
  <c r="P120" i="3" s="1"/>
  <c r="S120" i="3"/>
  <c r="T120" i="3" s="1"/>
  <c r="X120" i="3"/>
  <c r="Y120" i="3" s="1"/>
  <c r="X117" i="3"/>
  <c r="Y117" i="3" s="1"/>
  <c r="S117" i="3"/>
  <c r="N117" i="3"/>
  <c r="J117" i="3"/>
  <c r="G117" i="3"/>
  <c r="H111" i="3"/>
  <c r="I111" i="3"/>
  <c r="K111" i="3"/>
  <c r="L111" i="3"/>
  <c r="M111" i="3"/>
  <c r="P111" i="3"/>
  <c r="Q111" i="3"/>
  <c r="R111" i="3"/>
  <c r="U111" i="3"/>
  <c r="V111" i="3"/>
  <c r="AB111" i="3"/>
  <c r="AD111" i="3"/>
  <c r="AG111" i="3"/>
  <c r="AH111" i="3"/>
  <c r="AI111" i="3"/>
  <c r="AJ111" i="3"/>
  <c r="AJ150" i="3" s="1"/>
  <c r="F111" i="3"/>
  <c r="F27" i="3"/>
  <c r="A385" i="4" l="1"/>
  <c r="A386" i="4" s="1"/>
  <c r="A387" i="4" s="1"/>
  <c r="O117" i="3"/>
  <c r="T117" i="3"/>
  <c r="W134" i="3"/>
  <c r="W135" i="3"/>
  <c r="P134" i="3"/>
  <c r="W120" i="3"/>
  <c r="W117" i="3"/>
  <c r="X132" i="3" l="1"/>
  <c r="Y132" i="3" s="1"/>
  <c r="S132" i="3"/>
  <c r="T132" i="3" s="1"/>
  <c r="N132" i="3"/>
  <c r="J132" i="3"/>
  <c r="G132" i="3"/>
  <c r="X82" i="3"/>
  <c r="Y82" i="3" s="1"/>
  <c r="S82" i="3"/>
  <c r="T82" i="3" s="1"/>
  <c r="N82" i="3"/>
  <c r="O82" i="3" s="1"/>
  <c r="J82" i="3"/>
  <c r="G82" i="3"/>
  <c r="X81" i="3"/>
  <c r="Y81" i="3" s="1"/>
  <c r="S81" i="3"/>
  <c r="T81" i="3" s="1"/>
  <c r="N81" i="3"/>
  <c r="J81" i="3"/>
  <c r="G81" i="3"/>
  <c r="X80" i="3"/>
  <c r="Y80" i="3" s="1"/>
  <c r="S80" i="3"/>
  <c r="T80" i="3" s="1"/>
  <c r="N80" i="3"/>
  <c r="J80" i="3"/>
  <c r="G80" i="3"/>
  <c r="X79" i="3"/>
  <c r="Y79" i="3" s="1"/>
  <c r="S79" i="3"/>
  <c r="N79" i="3"/>
  <c r="O79" i="3" s="1"/>
  <c r="J79" i="3"/>
  <c r="G79" i="3"/>
  <c r="X83" i="3"/>
  <c r="Y83" i="3" s="1"/>
  <c r="S83" i="3"/>
  <c r="T83" i="3" s="1"/>
  <c r="N83" i="3"/>
  <c r="J83" i="3"/>
  <c r="G83" i="3"/>
  <c r="W132" i="3" l="1"/>
  <c r="W80" i="3"/>
  <c r="P132" i="3"/>
  <c r="W81" i="3"/>
  <c r="W79" i="3"/>
  <c r="W83" i="3"/>
  <c r="O80" i="3"/>
  <c r="W82" i="3"/>
  <c r="T79" i="3"/>
  <c r="O81" i="3"/>
  <c r="O83" i="3"/>
  <c r="AJ440" i="3" l="1"/>
  <c r="AJ441" i="3" s="1"/>
  <c r="AI440" i="3"/>
  <c r="AH440" i="3"/>
  <c r="AG440" i="3"/>
  <c r="AD439" i="3"/>
  <c r="AB439" i="3"/>
  <c r="V439" i="3"/>
  <c r="U439" i="3"/>
  <c r="R439" i="3"/>
  <c r="Q439" i="3"/>
  <c r="M439" i="3"/>
  <c r="K439" i="3"/>
  <c r="H439" i="3"/>
  <c r="Z438" i="3"/>
  <c r="AC438" i="3" s="1"/>
  <c r="X438" i="3"/>
  <c r="Y438" i="3" s="1"/>
  <c r="S438" i="3"/>
  <c r="T438" i="3" s="1"/>
  <c r="N438" i="3"/>
  <c r="J438" i="3"/>
  <c r="G438" i="3"/>
  <c r="Z437" i="3"/>
  <c r="AC437" i="3" s="1"/>
  <c r="X437" i="3"/>
  <c r="Y437" i="3" s="1"/>
  <c r="S437" i="3"/>
  <c r="T437" i="3" s="1"/>
  <c r="N437" i="3"/>
  <c r="J437" i="3"/>
  <c r="G437" i="3"/>
  <c r="Z436" i="3"/>
  <c r="AF436" i="3" s="1"/>
  <c r="X436" i="3"/>
  <c r="Y436" i="3" s="1"/>
  <c r="S436" i="3"/>
  <c r="T436" i="3" s="1"/>
  <c r="N436" i="3"/>
  <c r="P436" i="3" s="1"/>
  <c r="J436" i="3"/>
  <c r="G436" i="3"/>
  <c r="S434" i="3"/>
  <c r="T434" i="3" s="1"/>
  <c r="S433" i="3"/>
  <c r="T433" i="3" s="1"/>
  <c r="S432" i="3"/>
  <c r="T432" i="3" s="1"/>
  <c r="Z424" i="3"/>
  <c r="AF424" i="3" s="1"/>
  <c r="X424" i="3"/>
  <c r="Y424" i="3" s="1"/>
  <c r="S424" i="3"/>
  <c r="T424" i="3" s="1"/>
  <c r="N424" i="3"/>
  <c r="O424" i="3" s="1"/>
  <c r="J424" i="3"/>
  <c r="G424" i="3"/>
  <c r="X431" i="3"/>
  <c r="Y431" i="3" s="1"/>
  <c r="S431" i="3"/>
  <c r="T431" i="3" s="1"/>
  <c r="N431" i="3"/>
  <c r="J431" i="3"/>
  <c r="G431" i="3"/>
  <c r="X430" i="3"/>
  <c r="Y430" i="3" s="1"/>
  <c r="S430" i="3"/>
  <c r="T430" i="3" s="1"/>
  <c r="N430" i="3"/>
  <c r="J430" i="3"/>
  <c r="G430" i="3"/>
  <c r="G429" i="3"/>
  <c r="G428" i="3"/>
  <c r="G427" i="3"/>
  <c r="Z426" i="3"/>
  <c r="X423" i="3"/>
  <c r="Y423" i="3" s="1"/>
  <c r="Z421" i="3"/>
  <c r="AF421" i="3" s="1"/>
  <c r="X421" i="3"/>
  <c r="Y421" i="3" s="1"/>
  <c r="S421" i="3"/>
  <c r="T421" i="3" s="1"/>
  <c r="J421" i="3"/>
  <c r="G421" i="3"/>
  <c r="AB420" i="3"/>
  <c r="R420" i="3"/>
  <c r="Q420" i="3"/>
  <c r="M420" i="3"/>
  <c r="L420" i="3"/>
  <c r="L439" i="3" s="1"/>
  <c r="K420" i="3"/>
  <c r="I420" i="3"/>
  <c r="I439" i="3" s="1"/>
  <c r="H420" i="3"/>
  <c r="X415" i="3"/>
  <c r="Y415" i="3" s="1"/>
  <c r="Z414" i="3"/>
  <c r="AC414" i="3" s="1"/>
  <c r="X414" i="3"/>
  <c r="Y414" i="3" s="1"/>
  <c r="S414" i="3"/>
  <c r="T414" i="3" s="1"/>
  <c r="N414" i="3"/>
  <c r="J414" i="3"/>
  <c r="G414" i="3"/>
  <c r="F412" i="3"/>
  <c r="G409" i="3"/>
  <c r="G408" i="3"/>
  <c r="Z406" i="3"/>
  <c r="AC406" i="3" s="1"/>
  <c r="X406" i="3"/>
  <c r="Y406" i="3" s="1"/>
  <c r="S406" i="3"/>
  <c r="N406" i="3"/>
  <c r="J406" i="3"/>
  <c r="G406" i="3"/>
  <c r="X404" i="3"/>
  <c r="Y404" i="3" s="1"/>
  <c r="X403" i="3"/>
  <c r="Y403" i="3" s="1"/>
  <c r="J401" i="3"/>
  <c r="J398" i="3"/>
  <c r="J393" i="3"/>
  <c r="N391" i="3"/>
  <c r="F389" i="3"/>
  <c r="F394" i="3"/>
  <c r="F388" i="3"/>
  <c r="J388" i="3" s="1"/>
  <c r="Z384" i="3"/>
  <c r="G382" i="3"/>
  <c r="J328" i="3"/>
  <c r="G380" i="3"/>
  <c r="J346" i="3"/>
  <c r="N327" i="3"/>
  <c r="G377" i="3"/>
  <c r="N376" i="3"/>
  <c r="P376" i="3" s="1"/>
  <c r="N374" i="3"/>
  <c r="G373" i="3"/>
  <c r="G372" i="3"/>
  <c r="Z340" i="3"/>
  <c r="Z371" i="3"/>
  <c r="Z370" i="3"/>
  <c r="Z368" i="3"/>
  <c r="Z367" i="3"/>
  <c r="Z335" i="3"/>
  <c r="AF335" i="3" s="1"/>
  <c r="Z366" i="3"/>
  <c r="AF366" i="3" s="1"/>
  <c r="X366" i="3"/>
  <c r="Y366" i="3" s="1"/>
  <c r="S366" i="3"/>
  <c r="T366" i="3" s="1"/>
  <c r="N366" i="3"/>
  <c r="J366" i="3"/>
  <c r="G366" i="3"/>
  <c r="Z365" i="3"/>
  <c r="AF365" i="3" s="1"/>
  <c r="X365" i="3"/>
  <c r="Y365" i="3" s="1"/>
  <c r="S365" i="3"/>
  <c r="T365" i="3" s="1"/>
  <c r="N365" i="3"/>
  <c r="J365" i="3"/>
  <c r="G365" i="3"/>
  <c r="Z354" i="3"/>
  <c r="AF354" i="3" s="1"/>
  <c r="X354" i="3"/>
  <c r="Y354" i="3" s="1"/>
  <c r="S354" i="3"/>
  <c r="N354" i="3"/>
  <c r="P354" i="3" s="1"/>
  <c r="J354" i="3"/>
  <c r="G354" i="3"/>
  <c r="S353" i="3"/>
  <c r="T353" i="3" s="1"/>
  <c r="S352" i="3"/>
  <c r="T352" i="3" s="1"/>
  <c r="S351" i="3"/>
  <c r="T351" i="3" s="1"/>
  <c r="S350" i="3"/>
  <c r="T350" i="3" s="1"/>
  <c r="S349" i="3"/>
  <c r="T349" i="3" s="1"/>
  <c r="S348" i="3"/>
  <c r="T348" i="3" s="1"/>
  <c r="S347" i="3"/>
  <c r="T347" i="3" s="1"/>
  <c r="Z355" i="3"/>
  <c r="AC355" i="3" s="1"/>
  <c r="X355" i="3"/>
  <c r="Y355" i="3" s="1"/>
  <c r="S355" i="3"/>
  <c r="T355" i="3" s="1"/>
  <c r="N355" i="3"/>
  <c r="J355" i="3"/>
  <c r="G355" i="3"/>
  <c r="N345" i="3"/>
  <c r="P345" i="3" s="1"/>
  <c r="Z344" i="3"/>
  <c r="X343" i="3"/>
  <c r="Y343" i="3" s="1"/>
  <c r="Z342" i="3"/>
  <c r="AC342" i="3" s="1"/>
  <c r="G339" i="3"/>
  <c r="G338" i="3"/>
  <c r="G395" i="3"/>
  <c r="G337" i="3"/>
  <c r="G336" i="3"/>
  <c r="X332" i="3"/>
  <c r="Y332" i="3" s="1"/>
  <c r="X325" i="3"/>
  <c r="Y325" i="3" s="1"/>
  <c r="X378" i="3"/>
  <c r="Y378" i="3" s="1"/>
  <c r="Z331" i="3"/>
  <c r="AA331" i="3" s="1"/>
  <c r="X331" i="3"/>
  <c r="Y331" i="3" s="1"/>
  <c r="S331" i="3"/>
  <c r="T331" i="3" s="1"/>
  <c r="N331" i="3"/>
  <c r="J331" i="3"/>
  <c r="G331" i="3"/>
  <c r="Z324" i="3"/>
  <c r="AA324" i="3" s="1"/>
  <c r="Z330" i="3"/>
  <c r="AA330" i="3" s="1"/>
  <c r="Z329" i="3"/>
  <c r="AA329" i="3" s="1"/>
  <c r="Z326" i="3"/>
  <c r="AA326" i="3" s="1"/>
  <c r="F323" i="3"/>
  <c r="Z323" i="3" s="1"/>
  <c r="AA323" i="3" s="1"/>
  <c r="Z321" i="3"/>
  <c r="AA321" i="3" s="1"/>
  <c r="Z320" i="3"/>
  <c r="AA320" i="3" s="1"/>
  <c r="Z319" i="3"/>
  <c r="AA319" i="3" s="1"/>
  <c r="Z317" i="3"/>
  <c r="AF317" i="3" s="1"/>
  <c r="X317" i="3"/>
  <c r="Y317" i="3" s="1"/>
  <c r="S317" i="3"/>
  <c r="T317" i="3" s="1"/>
  <c r="N317" i="3"/>
  <c r="J317" i="3"/>
  <c r="G317" i="3"/>
  <c r="Z315" i="3"/>
  <c r="AA315" i="3" s="1"/>
  <c r="X315" i="3"/>
  <c r="Y315" i="3" s="1"/>
  <c r="S315" i="3"/>
  <c r="T315" i="3" s="1"/>
  <c r="N315" i="3"/>
  <c r="J315" i="3"/>
  <c r="G315" i="3"/>
  <c r="Z313" i="3"/>
  <c r="X313" i="3"/>
  <c r="Y313" i="3" s="1"/>
  <c r="S313" i="3"/>
  <c r="T313" i="3" s="1"/>
  <c r="N313" i="3"/>
  <c r="O313" i="3" s="1"/>
  <c r="J313" i="3"/>
  <c r="G313" i="3"/>
  <c r="F312" i="3"/>
  <c r="Z311" i="3"/>
  <c r="X311" i="3"/>
  <c r="S311" i="3"/>
  <c r="N311" i="3"/>
  <c r="J311" i="3"/>
  <c r="G311" i="3"/>
  <c r="X309" i="3"/>
  <c r="S309" i="3"/>
  <c r="N309" i="3"/>
  <c r="J309" i="3"/>
  <c r="G309" i="3"/>
  <c r="X308" i="3"/>
  <c r="Y308" i="3" s="1"/>
  <c r="S308" i="3"/>
  <c r="N308" i="3"/>
  <c r="P308" i="3" s="1"/>
  <c r="J308" i="3"/>
  <c r="G308" i="3"/>
  <c r="X306" i="3"/>
  <c r="Y306" i="3" s="1"/>
  <c r="S306" i="3"/>
  <c r="T306" i="3" s="1"/>
  <c r="N306" i="3"/>
  <c r="J306" i="3"/>
  <c r="G306" i="3"/>
  <c r="X305" i="3"/>
  <c r="Y305" i="3" s="1"/>
  <c r="S305" i="3"/>
  <c r="T305" i="3" s="1"/>
  <c r="N305" i="3"/>
  <c r="J305" i="3"/>
  <c r="G305" i="3"/>
  <c r="X304" i="3"/>
  <c r="Y304" i="3" s="1"/>
  <c r="S304" i="3"/>
  <c r="N304" i="3"/>
  <c r="J304" i="3"/>
  <c r="G304" i="3"/>
  <c r="V302" i="3"/>
  <c r="U302" i="3"/>
  <c r="R302" i="3"/>
  <c r="Q302" i="3"/>
  <c r="M302" i="3"/>
  <c r="K302" i="3"/>
  <c r="H302" i="3"/>
  <c r="X301" i="3"/>
  <c r="Y301" i="3" s="1"/>
  <c r="S301" i="3"/>
  <c r="T301" i="3" s="1"/>
  <c r="N301" i="3"/>
  <c r="J301" i="3"/>
  <c r="G301" i="3"/>
  <c r="X300" i="3"/>
  <c r="Y300" i="3" s="1"/>
  <c r="S300" i="3"/>
  <c r="T300" i="3" s="1"/>
  <c r="N300" i="3"/>
  <c r="O300" i="3" s="1"/>
  <c r="J300" i="3"/>
  <c r="G300" i="3"/>
  <c r="X299" i="3"/>
  <c r="Y299" i="3" s="1"/>
  <c r="S299" i="3"/>
  <c r="T299" i="3" s="1"/>
  <c r="N299" i="3"/>
  <c r="J299" i="3"/>
  <c r="G299" i="3"/>
  <c r="N298" i="3"/>
  <c r="O298" i="3" s="1"/>
  <c r="S297" i="3"/>
  <c r="T297" i="3" s="1"/>
  <c r="X296" i="3"/>
  <c r="Y296" i="3" s="1"/>
  <c r="X295" i="3"/>
  <c r="Y295" i="3" s="1"/>
  <c r="S295" i="3"/>
  <c r="T295" i="3" s="1"/>
  <c r="N295" i="3"/>
  <c r="J295" i="3"/>
  <c r="G295" i="3"/>
  <c r="X294" i="3"/>
  <c r="Y294" i="3" s="1"/>
  <c r="S294" i="3"/>
  <c r="T294" i="3" s="1"/>
  <c r="N294" i="3"/>
  <c r="P294" i="3" s="1"/>
  <c r="J294" i="3"/>
  <c r="G294" i="3"/>
  <c r="X293" i="3"/>
  <c r="S293" i="3"/>
  <c r="T293" i="3" s="1"/>
  <c r="N293" i="3"/>
  <c r="P293" i="3" s="1"/>
  <c r="J293" i="3"/>
  <c r="G293" i="3"/>
  <c r="X292" i="3"/>
  <c r="Y292" i="3" s="1"/>
  <c r="S292" i="3"/>
  <c r="N292" i="3"/>
  <c r="J292" i="3"/>
  <c r="G292" i="3"/>
  <c r="M291" i="3"/>
  <c r="L291" i="3"/>
  <c r="L303" i="3" s="1"/>
  <c r="K291" i="3"/>
  <c r="I291" i="3"/>
  <c r="I303" i="3" s="1"/>
  <c r="H291" i="3"/>
  <c r="Q289" i="3"/>
  <c r="X287" i="3"/>
  <c r="Y287" i="3" s="1"/>
  <c r="S287" i="3"/>
  <c r="T287" i="3" s="1"/>
  <c r="N287" i="3"/>
  <c r="P287" i="3" s="1"/>
  <c r="J287" i="3"/>
  <c r="G287" i="3"/>
  <c r="G285" i="3"/>
  <c r="X284" i="3"/>
  <c r="Y284" i="3" s="1"/>
  <c r="S284" i="3"/>
  <c r="T284" i="3" s="1"/>
  <c r="N284" i="3"/>
  <c r="P284" i="3" s="1"/>
  <c r="J284" i="3"/>
  <c r="G284" i="3"/>
  <c r="X283" i="3"/>
  <c r="S283" i="3"/>
  <c r="F283" i="3"/>
  <c r="Q281" i="3"/>
  <c r="P281" i="3"/>
  <c r="M281" i="3"/>
  <c r="K281" i="3"/>
  <c r="H281" i="3"/>
  <c r="F281" i="3"/>
  <c r="V279" i="3"/>
  <c r="U279" i="3"/>
  <c r="R279" i="3"/>
  <c r="Q279" i="3"/>
  <c r="O279" i="3"/>
  <c r="M279" i="3"/>
  <c r="L279" i="3"/>
  <c r="K279" i="3"/>
  <c r="I279" i="3"/>
  <c r="H279" i="3"/>
  <c r="X278" i="3"/>
  <c r="Y278" i="3" s="1"/>
  <c r="S278" i="3"/>
  <c r="T278" i="3" s="1"/>
  <c r="N278" i="3"/>
  <c r="J278" i="3"/>
  <c r="G278" i="3"/>
  <c r="X276" i="3"/>
  <c r="Y276" i="3" s="1"/>
  <c r="S276" i="3"/>
  <c r="N276" i="3"/>
  <c r="J276" i="3"/>
  <c r="G276" i="3"/>
  <c r="X275" i="3"/>
  <c r="Y275" i="3" s="1"/>
  <c r="S275" i="3"/>
  <c r="T275" i="3" s="1"/>
  <c r="N275" i="3"/>
  <c r="J275" i="3"/>
  <c r="G275" i="3"/>
  <c r="F279" i="3"/>
  <c r="X273" i="3"/>
  <c r="Y273" i="3" s="1"/>
  <c r="S273" i="3"/>
  <c r="N273" i="3"/>
  <c r="J273" i="3"/>
  <c r="G273" i="3"/>
  <c r="V272" i="3"/>
  <c r="U272" i="3"/>
  <c r="R272" i="3"/>
  <c r="Q272" i="3"/>
  <c r="M272" i="3"/>
  <c r="L272" i="3"/>
  <c r="K272" i="3"/>
  <c r="I272" i="3"/>
  <c r="H272" i="3"/>
  <c r="F272" i="3"/>
  <c r="X271" i="3"/>
  <c r="Y271" i="3" s="1"/>
  <c r="S271" i="3"/>
  <c r="T271" i="3" s="1"/>
  <c r="N271" i="3"/>
  <c r="P271" i="3" s="1"/>
  <c r="J271" i="3"/>
  <c r="G271" i="3"/>
  <c r="X270" i="3"/>
  <c r="S270" i="3"/>
  <c r="N270" i="3"/>
  <c r="P270" i="3" s="1"/>
  <c r="J270" i="3"/>
  <c r="G270" i="3"/>
  <c r="X269" i="3"/>
  <c r="Y269" i="3" s="1"/>
  <c r="S269" i="3"/>
  <c r="T269" i="3" s="1"/>
  <c r="N269" i="3"/>
  <c r="J269" i="3"/>
  <c r="G269" i="3"/>
  <c r="X268" i="3"/>
  <c r="Y268" i="3" s="1"/>
  <c r="S268" i="3"/>
  <c r="N268" i="3"/>
  <c r="J268" i="3"/>
  <c r="G268" i="3"/>
  <c r="V267" i="3"/>
  <c r="U267" i="3"/>
  <c r="R267" i="3"/>
  <c r="Q267" i="3"/>
  <c r="M267" i="3"/>
  <c r="L267" i="3"/>
  <c r="K267" i="3"/>
  <c r="I267" i="3"/>
  <c r="H267" i="3"/>
  <c r="F267" i="3"/>
  <c r="X266" i="3"/>
  <c r="Y266" i="3" s="1"/>
  <c r="S266" i="3"/>
  <c r="T266" i="3" s="1"/>
  <c r="N266" i="3"/>
  <c r="J266" i="3"/>
  <c r="G266" i="3"/>
  <c r="X265" i="3"/>
  <c r="Y265" i="3" s="1"/>
  <c r="S265" i="3"/>
  <c r="N265" i="3"/>
  <c r="J265" i="3"/>
  <c r="G265" i="3"/>
  <c r="X264" i="3"/>
  <c r="Y264" i="3" s="1"/>
  <c r="S264" i="3"/>
  <c r="T264" i="3" s="1"/>
  <c r="N264" i="3"/>
  <c r="J264" i="3"/>
  <c r="G264" i="3"/>
  <c r="X263" i="3"/>
  <c r="Y263" i="3" s="1"/>
  <c r="S263" i="3"/>
  <c r="T263" i="3" s="1"/>
  <c r="N263" i="3"/>
  <c r="J263" i="3"/>
  <c r="G263" i="3"/>
  <c r="X262" i="3"/>
  <c r="Y262" i="3" s="1"/>
  <c r="S262" i="3"/>
  <c r="T262" i="3" s="1"/>
  <c r="N262" i="3"/>
  <c r="J262" i="3"/>
  <c r="G262" i="3"/>
  <c r="X258" i="3"/>
  <c r="Y258" i="3" s="1"/>
  <c r="S258" i="3"/>
  <c r="T258" i="3" s="1"/>
  <c r="N258" i="3"/>
  <c r="J258" i="3"/>
  <c r="G258" i="3"/>
  <c r="X256" i="3"/>
  <c r="S256" i="3"/>
  <c r="N256" i="3"/>
  <c r="J256" i="3"/>
  <c r="G256" i="3"/>
  <c r="V255" i="3"/>
  <c r="U255" i="3"/>
  <c r="R255" i="3"/>
  <c r="Q255" i="3"/>
  <c r="O255" i="3"/>
  <c r="M255" i="3"/>
  <c r="L255" i="3"/>
  <c r="K255" i="3"/>
  <c r="I255" i="3"/>
  <c r="H255" i="3"/>
  <c r="X254" i="3"/>
  <c r="Y254" i="3" s="1"/>
  <c r="S254" i="3"/>
  <c r="T254" i="3" s="1"/>
  <c r="N254" i="3"/>
  <c r="J254" i="3"/>
  <c r="G254" i="3"/>
  <c r="X253" i="3"/>
  <c r="Y253" i="3" s="1"/>
  <c r="S253" i="3"/>
  <c r="T253" i="3" s="1"/>
  <c r="N253" i="3"/>
  <c r="J253" i="3"/>
  <c r="G253" i="3"/>
  <c r="X252" i="3"/>
  <c r="Y252" i="3" s="1"/>
  <c r="S252" i="3"/>
  <c r="T252" i="3" s="1"/>
  <c r="N252" i="3"/>
  <c r="J252" i="3"/>
  <c r="G252" i="3"/>
  <c r="X251" i="3"/>
  <c r="Y251" i="3" s="1"/>
  <c r="S251" i="3"/>
  <c r="T251" i="3" s="1"/>
  <c r="N251" i="3"/>
  <c r="J251" i="3"/>
  <c r="G251" i="3"/>
  <c r="X250" i="3"/>
  <c r="S250" i="3"/>
  <c r="N250" i="3"/>
  <c r="J250" i="3"/>
  <c r="G250" i="3"/>
  <c r="V249" i="3"/>
  <c r="U249" i="3"/>
  <c r="R249" i="3"/>
  <c r="Q249" i="3"/>
  <c r="O249" i="3"/>
  <c r="M249" i="3"/>
  <c r="L249" i="3"/>
  <c r="K249" i="3"/>
  <c r="I249" i="3"/>
  <c r="H249" i="3"/>
  <c r="F248" i="3"/>
  <c r="X248" i="3" s="1"/>
  <c r="Y248" i="3" s="1"/>
  <c r="X247" i="3"/>
  <c r="Y247" i="3" s="1"/>
  <c r="S247" i="3"/>
  <c r="T247" i="3" s="1"/>
  <c r="N247" i="3"/>
  <c r="P247" i="3" s="1"/>
  <c r="J247" i="3"/>
  <c r="G247" i="3"/>
  <c r="X246" i="3"/>
  <c r="Y246" i="3" s="1"/>
  <c r="S246" i="3"/>
  <c r="T246" i="3" s="1"/>
  <c r="N246" i="3"/>
  <c r="J246" i="3"/>
  <c r="G246" i="3"/>
  <c r="F245" i="3"/>
  <c r="X244" i="3"/>
  <c r="Y244" i="3" s="1"/>
  <c r="S244" i="3"/>
  <c r="T244" i="3" s="1"/>
  <c r="N244" i="3"/>
  <c r="J244" i="3"/>
  <c r="G244" i="3"/>
  <c r="X241" i="3"/>
  <c r="S241" i="3"/>
  <c r="N241" i="3"/>
  <c r="J241" i="3"/>
  <c r="G241" i="3"/>
  <c r="X242" i="3"/>
  <c r="Y242" i="3" s="1"/>
  <c r="S242" i="3"/>
  <c r="T242" i="3" s="1"/>
  <c r="N242" i="3"/>
  <c r="P242" i="3" s="1"/>
  <c r="J242" i="3"/>
  <c r="G242" i="3"/>
  <c r="X238" i="3"/>
  <c r="S238" i="3"/>
  <c r="N238" i="3"/>
  <c r="J238" i="3"/>
  <c r="G238" i="3"/>
  <c r="V237" i="3"/>
  <c r="R237" i="3"/>
  <c r="Q237" i="3"/>
  <c r="M237" i="3"/>
  <c r="L237" i="3"/>
  <c r="K237" i="3"/>
  <c r="I237" i="3"/>
  <c r="H237" i="3"/>
  <c r="X236" i="3"/>
  <c r="Y236" i="3" s="1"/>
  <c r="S236" i="3"/>
  <c r="T236" i="3" s="1"/>
  <c r="N236" i="3"/>
  <c r="J236" i="3"/>
  <c r="G236" i="3"/>
  <c r="X235" i="3"/>
  <c r="Y235" i="3" s="1"/>
  <c r="S235" i="3"/>
  <c r="T235" i="3" s="1"/>
  <c r="N235" i="3"/>
  <c r="J235" i="3"/>
  <c r="G235" i="3"/>
  <c r="X231" i="3"/>
  <c r="Y231" i="3" s="1"/>
  <c r="S231" i="3"/>
  <c r="T231" i="3" s="1"/>
  <c r="N231" i="3"/>
  <c r="G231" i="3"/>
  <c r="X234" i="3"/>
  <c r="Y234" i="3" s="1"/>
  <c r="S234" i="3"/>
  <c r="T234" i="3" s="1"/>
  <c r="N234" i="3"/>
  <c r="G234" i="3"/>
  <c r="X233" i="3"/>
  <c r="Y233" i="3" s="1"/>
  <c r="S233" i="3"/>
  <c r="T233" i="3" s="1"/>
  <c r="N233" i="3"/>
  <c r="G233" i="3"/>
  <c r="X232" i="3"/>
  <c r="Y232" i="3" s="1"/>
  <c r="G229" i="3"/>
  <c r="X226" i="3"/>
  <c r="Y226" i="3" s="1"/>
  <c r="N225" i="3"/>
  <c r="X221" i="3"/>
  <c r="Y221" i="3" s="1"/>
  <c r="S221" i="3"/>
  <c r="T221" i="3" s="1"/>
  <c r="N221" i="3"/>
  <c r="J221" i="3"/>
  <c r="G221" i="3"/>
  <c r="X220" i="3"/>
  <c r="Y220" i="3" s="1"/>
  <c r="S220" i="3"/>
  <c r="T220" i="3" s="1"/>
  <c r="N220" i="3"/>
  <c r="J220" i="3"/>
  <c r="G220" i="3"/>
  <c r="X219" i="3"/>
  <c r="Y219" i="3" s="1"/>
  <c r="X218" i="3"/>
  <c r="Y218" i="3" s="1"/>
  <c r="S218" i="3"/>
  <c r="T218" i="3" s="1"/>
  <c r="N218" i="3"/>
  <c r="J218" i="3"/>
  <c r="G218" i="3"/>
  <c r="G217" i="3"/>
  <c r="X216" i="3"/>
  <c r="Y216" i="3" s="1"/>
  <c r="S216" i="3"/>
  <c r="N216" i="3"/>
  <c r="J216" i="3"/>
  <c r="G216" i="3"/>
  <c r="V215" i="3"/>
  <c r="R215" i="3"/>
  <c r="Q215" i="3"/>
  <c r="P215" i="3"/>
  <c r="M215" i="3"/>
  <c r="L215" i="3"/>
  <c r="K215" i="3"/>
  <c r="I215" i="3"/>
  <c r="H215" i="3"/>
  <c r="N227" i="3"/>
  <c r="X214" i="3"/>
  <c r="Y214" i="3" s="1"/>
  <c r="S214" i="3"/>
  <c r="T214" i="3" s="1"/>
  <c r="N214" i="3"/>
  <c r="J214" i="3"/>
  <c r="G214" i="3"/>
  <c r="N213" i="3"/>
  <c r="X212" i="3"/>
  <c r="S212" i="3"/>
  <c r="N212" i="3"/>
  <c r="J212" i="3"/>
  <c r="G212" i="3"/>
  <c r="V210" i="3"/>
  <c r="U210" i="3"/>
  <c r="R210" i="3"/>
  <c r="Q210" i="3"/>
  <c r="M210" i="3"/>
  <c r="L210" i="3"/>
  <c r="K210" i="3"/>
  <c r="I210" i="3"/>
  <c r="H210" i="3"/>
  <c r="X209" i="3"/>
  <c r="Y209" i="3" s="1"/>
  <c r="X208" i="3"/>
  <c r="Y208" i="3" s="1"/>
  <c r="S208" i="3"/>
  <c r="T208" i="3" s="1"/>
  <c r="N208" i="3"/>
  <c r="J208" i="3"/>
  <c r="G208" i="3"/>
  <c r="X206" i="3"/>
  <c r="Y205" i="3"/>
  <c r="T205" i="3"/>
  <c r="N205" i="3"/>
  <c r="J205" i="3"/>
  <c r="G205" i="3"/>
  <c r="AD204" i="3"/>
  <c r="AB204" i="3"/>
  <c r="V204" i="3"/>
  <c r="U204" i="3"/>
  <c r="R204" i="3"/>
  <c r="Q204" i="3"/>
  <c r="M204" i="3"/>
  <c r="L204" i="3"/>
  <c r="K204" i="3"/>
  <c r="I204" i="3"/>
  <c r="H204" i="3"/>
  <c r="X203" i="3"/>
  <c r="Y203" i="3" s="1"/>
  <c r="S203" i="3"/>
  <c r="T203" i="3" s="1"/>
  <c r="N203" i="3"/>
  <c r="J203" i="3"/>
  <c r="G203" i="3"/>
  <c r="X202" i="3"/>
  <c r="Y202" i="3" s="1"/>
  <c r="S202" i="3"/>
  <c r="T202" i="3" s="1"/>
  <c r="N202" i="3"/>
  <c r="J202" i="3"/>
  <c r="G202" i="3"/>
  <c r="X201" i="3"/>
  <c r="Y201" i="3" s="1"/>
  <c r="S201" i="3"/>
  <c r="T201" i="3" s="1"/>
  <c r="N201" i="3"/>
  <c r="J201" i="3"/>
  <c r="G201" i="3"/>
  <c r="F199" i="3"/>
  <c r="N199" i="3" s="1"/>
  <c r="P199" i="3" s="1"/>
  <c r="X200" i="3"/>
  <c r="Y200" i="3" s="1"/>
  <c r="X198" i="3"/>
  <c r="Y198" i="3" s="1"/>
  <c r="S198" i="3"/>
  <c r="T198" i="3" s="1"/>
  <c r="N198" i="3"/>
  <c r="J198" i="3"/>
  <c r="G198" i="3"/>
  <c r="N197" i="3"/>
  <c r="P197" i="3" s="1"/>
  <c r="N196" i="3"/>
  <c r="O196" i="3" s="1"/>
  <c r="X195" i="3"/>
  <c r="Y195" i="3" s="1"/>
  <c r="S195" i="3"/>
  <c r="T195" i="3" s="1"/>
  <c r="N195" i="3"/>
  <c r="J195" i="3"/>
  <c r="G195" i="3"/>
  <c r="X194" i="3"/>
  <c r="Y194" i="3" s="1"/>
  <c r="S194" i="3"/>
  <c r="T194" i="3" s="1"/>
  <c r="N194" i="3"/>
  <c r="J194" i="3"/>
  <c r="G194" i="3"/>
  <c r="N192" i="3"/>
  <c r="X191" i="3"/>
  <c r="Y191" i="3" s="1"/>
  <c r="S191" i="3"/>
  <c r="N191" i="3"/>
  <c r="J191" i="3"/>
  <c r="G191" i="3"/>
  <c r="V190" i="3"/>
  <c r="U190" i="3"/>
  <c r="R190" i="3"/>
  <c r="Q190" i="3"/>
  <c r="M190" i="3"/>
  <c r="L190" i="3"/>
  <c r="K190" i="3"/>
  <c r="I190" i="3"/>
  <c r="H190" i="3"/>
  <c r="X189" i="3"/>
  <c r="Y189" i="3" s="1"/>
  <c r="S189" i="3"/>
  <c r="N189" i="3"/>
  <c r="O189" i="3" s="1"/>
  <c r="J189" i="3"/>
  <c r="G189" i="3"/>
  <c r="G188" i="3"/>
  <c r="X187" i="3"/>
  <c r="Y187" i="3" s="1"/>
  <c r="S187" i="3"/>
  <c r="F187" i="3"/>
  <c r="O186" i="3"/>
  <c r="M186" i="3"/>
  <c r="L186" i="3"/>
  <c r="K186" i="3"/>
  <c r="I186" i="3"/>
  <c r="H186" i="3"/>
  <c r="X185" i="3"/>
  <c r="Y185" i="3" s="1"/>
  <c r="S185" i="3"/>
  <c r="T185" i="3" s="1"/>
  <c r="N185" i="3"/>
  <c r="J185" i="3"/>
  <c r="G185" i="3"/>
  <c r="X184" i="3"/>
  <c r="Y184" i="3" s="1"/>
  <c r="S184" i="3"/>
  <c r="T184" i="3" s="1"/>
  <c r="N184" i="3"/>
  <c r="J184" i="3"/>
  <c r="G184" i="3"/>
  <c r="O183" i="3"/>
  <c r="M183" i="3"/>
  <c r="L183" i="3"/>
  <c r="K183" i="3"/>
  <c r="I183" i="3"/>
  <c r="H183" i="3"/>
  <c r="F183" i="3"/>
  <c r="X182" i="3"/>
  <c r="Y182" i="3" s="1"/>
  <c r="S182" i="3"/>
  <c r="T182" i="3" s="1"/>
  <c r="N182" i="3"/>
  <c r="J182" i="3"/>
  <c r="G182" i="3"/>
  <c r="X181" i="3"/>
  <c r="S181" i="3"/>
  <c r="T181" i="3" s="1"/>
  <c r="N181" i="3"/>
  <c r="P181" i="3" s="1"/>
  <c r="J181" i="3"/>
  <c r="G181" i="3"/>
  <c r="AF180" i="3"/>
  <c r="AE180" i="3"/>
  <c r="AD180" i="3"/>
  <c r="AD211" i="3" s="1"/>
  <c r="AC180" i="3"/>
  <c r="AB180" i="3"/>
  <c r="AB211" i="3" s="1"/>
  <c r="AA180" i="3"/>
  <c r="Z180" i="3"/>
  <c r="V180" i="3"/>
  <c r="U180" i="3"/>
  <c r="R180" i="3"/>
  <c r="Q180" i="3"/>
  <c r="M180" i="3"/>
  <c r="L180" i="3"/>
  <c r="K180" i="3"/>
  <c r="K211" i="3" s="1"/>
  <c r="I180" i="3"/>
  <c r="H180" i="3"/>
  <c r="X179" i="3"/>
  <c r="Y179" i="3" s="1"/>
  <c r="S179" i="3"/>
  <c r="T179" i="3" s="1"/>
  <c r="N179" i="3"/>
  <c r="J179" i="3"/>
  <c r="G179" i="3"/>
  <c r="S178" i="3"/>
  <c r="T178" i="3" s="1"/>
  <c r="G177" i="3"/>
  <c r="X176" i="3"/>
  <c r="Y176" i="3" s="1"/>
  <c r="X175" i="3"/>
  <c r="Y175" i="3" s="1"/>
  <c r="S175" i="3"/>
  <c r="T175" i="3" s="1"/>
  <c r="N175" i="3"/>
  <c r="P175" i="3" s="1"/>
  <c r="J175" i="3"/>
  <c r="G175" i="3"/>
  <c r="X174" i="3"/>
  <c r="Y174" i="3" s="1"/>
  <c r="S174" i="3"/>
  <c r="T174" i="3" s="1"/>
  <c r="N174" i="3"/>
  <c r="J174" i="3"/>
  <c r="G174" i="3"/>
  <c r="N173" i="3"/>
  <c r="P173" i="3" s="1"/>
  <c r="S172" i="3"/>
  <c r="T172" i="3" s="1"/>
  <c r="G171" i="3"/>
  <c r="N170" i="3"/>
  <c r="P170" i="3" s="1"/>
  <c r="X168" i="3"/>
  <c r="Y168" i="3" s="1"/>
  <c r="X169" i="3"/>
  <c r="Y169" i="3" s="1"/>
  <c r="S169" i="3"/>
  <c r="T169" i="3" s="1"/>
  <c r="N169" i="3"/>
  <c r="P169" i="3" s="1"/>
  <c r="J169" i="3"/>
  <c r="G169" i="3"/>
  <c r="N167" i="3"/>
  <c r="O167" i="3" s="1"/>
  <c r="G165" i="3"/>
  <c r="X164" i="3"/>
  <c r="Y164" i="3" s="1"/>
  <c r="S164" i="3"/>
  <c r="N164" i="3"/>
  <c r="P164" i="3" s="1"/>
  <c r="J164" i="3"/>
  <c r="G164" i="3"/>
  <c r="F163" i="3"/>
  <c r="X163" i="3" s="1"/>
  <c r="Y163" i="3" s="1"/>
  <c r="G162" i="3"/>
  <c r="F161" i="3"/>
  <c r="X161" i="3" s="1"/>
  <c r="Y160" i="3"/>
  <c r="S160" i="3"/>
  <c r="T160" i="3" s="1"/>
  <c r="N160" i="3"/>
  <c r="J160" i="3"/>
  <c r="G160" i="3"/>
  <c r="X157" i="3"/>
  <c r="Y157" i="3" s="1"/>
  <c r="S157" i="3"/>
  <c r="T157" i="3" s="1"/>
  <c r="N157" i="3"/>
  <c r="P157" i="3" s="1"/>
  <c r="J157" i="3"/>
  <c r="G157" i="3"/>
  <c r="X156" i="3"/>
  <c r="N154" i="3"/>
  <c r="P154" i="3" s="1"/>
  <c r="X152" i="3"/>
  <c r="S152" i="3"/>
  <c r="N152" i="3"/>
  <c r="J152" i="3"/>
  <c r="G152" i="3"/>
  <c r="Y151" i="3"/>
  <c r="T151" i="3"/>
  <c r="N151" i="3"/>
  <c r="J151" i="3"/>
  <c r="G151" i="3"/>
  <c r="X109" i="3"/>
  <c r="S109" i="3"/>
  <c r="N109" i="3"/>
  <c r="J109" i="3"/>
  <c r="G109" i="3"/>
  <c r="Y108" i="3"/>
  <c r="T108" i="3"/>
  <c r="N108" i="3"/>
  <c r="J108" i="3"/>
  <c r="G108" i="3"/>
  <c r="V149" i="3"/>
  <c r="U149" i="3"/>
  <c r="R149" i="3"/>
  <c r="Q149" i="3"/>
  <c r="O149" i="3"/>
  <c r="M149" i="3"/>
  <c r="K149" i="3"/>
  <c r="H149" i="3"/>
  <c r="X148" i="3"/>
  <c r="Y148" i="3" s="1"/>
  <c r="S148" i="3"/>
  <c r="T148" i="3" s="1"/>
  <c r="N148" i="3"/>
  <c r="J148" i="3"/>
  <c r="G148" i="3"/>
  <c r="X147" i="3"/>
  <c r="Y147" i="3" s="1"/>
  <c r="S147" i="3"/>
  <c r="T147" i="3" s="1"/>
  <c r="N147" i="3"/>
  <c r="J147" i="3"/>
  <c r="G147" i="3"/>
  <c r="X146" i="3"/>
  <c r="Y146" i="3" s="1"/>
  <c r="S146" i="3"/>
  <c r="T146" i="3" s="1"/>
  <c r="N146" i="3"/>
  <c r="J146" i="3"/>
  <c r="G146" i="3"/>
  <c r="F149" i="3"/>
  <c r="X144" i="3"/>
  <c r="Y144" i="3" s="1"/>
  <c r="S144" i="3"/>
  <c r="T144" i="3" s="1"/>
  <c r="N144" i="3"/>
  <c r="J144" i="3"/>
  <c r="G144" i="3"/>
  <c r="X143" i="3"/>
  <c r="Y143" i="3" s="1"/>
  <c r="S143" i="3"/>
  <c r="N143" i="3"/>
  <c r="J143" i="3"/>
  <c r="G143" i="3"/>
  <c r="R142" i="3"/>
  <c r="Q142" i="3"/>
  <c r="P142" i="3"/>
  <c r="M142" i="3"/>
  <c r="K142" i="3"/>
  <c r="H142" i="3"/>
  <c r="X141" i="3"/>
  <c r="Y141" i="3" s="1"/>
  <c r="X140" i="3"/>
  <c r="Y140" i="3" s="1"/>
  <c r="F139" i="3"/>
  <c r="J139" i="3" s="1"/>
  <c r="R138" i="3"/>
  <c r="Q138" i="3"/>
  <c r="O138" i="3"/>
  <c r="M138" i="3"/>
  <c r="K138" i="3"/>
  <c r="H138" i="3"/>
  <c r="F138" i="3"/>
  <c r="X137" i="3"/>
  <c r="Y137" i="3" s="1"/>
  <c r="Y138" i="3" s="1"/>
  <c r="S137" i="3"/>
  <c r="S138" i="3" s="1"/>
  <c r="N137" i="3"/>
  <c r="P137" i="3" s="1"/>
  <c r="P138" i="3" s="1"/>
  <c r="J137" i="3"/>
  <c r="J138" i="3" s="1"/>
  <c r="G137" i="3"/>
  <c r="G138" i="3" s="1"/>
  <c r="X133" i="3"/>
  <c r="Y133" i="3" s="1"/>
  <c r="S133" i="3"/>
  <c r="T133" i="3" s="1"/>
  <c r="N133" i="3"/>
  <c r="P133" i="3" s="1"/>
  <c r="J133" i="3"/>
  <c r="G133" i="3"/>
  <c r="X131" i="3"/>
  <c r="Y131" i="3" s="1"/>
  <c r="S131" i="3"/>
  <c r="N131" i="3"/>
  <c r="P131" i="3" s="1"/>
  <c r="J131" i="3"/>
  <c r="G131" i="3"/>
  <c r="X130" i="3"/>
  <c r="Y130" i="3" s="1"/>
  <c r="S130" i="3"/>
  <c r="T130" i="3" s="1"/>
  <c r="N130" i="3"/>
  <c r="J130" i="3"/>
  <c r="G130" i="3"/>
  <c r="G129" i="3"/>
  <c r="N128" i="3"/>
  <c r="X127" i="3"/>
  <c r="Y127" i="3" s="1"/>
  <c r="N126" i="3"/>
  <c r="P126" i="3" s="1"/>
  <c r="S125" i="3"/>
  <c r="T125" i="3" s="1"/>
  <c r="X124" i="3"/>
  <c r="Y124" i="3" s="1"/>
  <c r="N119" i="3"/>
  <c r="G122" i="3"/>
  <c r="X118" i="3"/>
  <c r="S118" i="3"/>
  <c r="N118" i="3"/>
  <c r="J118" i="3"/>
  <c r="G118" i="3"/>
  <c r="V116" i="3"/>
  <c r="U116" i="3"/>
  <c r="R116" i="3"/>
  <c r="Q116" i="3"/>
  <c r="O116" i="3"/>
  <c r="M116" i="3"/>
  <c r="L116" i="3"/>
  <c r="K116" i="3"/>
  <c r="I116" i="3"/>
  <c r="H116" i="3"/>
  <c r="X115" i="3"/>
  <c r="Y115" i="3" s="1"/>
  <c r="S115" i="3"/>
  <c r="T115" i="3" s="1"/>
  <c r="N115" i="3"/>
  <c r="J115" i="3"/>
  <c r="G115" i="3"/>
  <c r="N114" i="3"/>
  <c r="S113" i="3"/>
  <c r="T113" i="3" s="1"/>
  <c r="X112" i="3"/>
  <c r="Y112" i="3" s="1"/>
  <c r="S112" i="3"/>
  <c r="N112" i="3"/>
  <c r="J112" i="3"/>
  <c r="G112" i="3"/>
  <c r="Z110" i="3"/>
  <c r="X110" i="3"/>
  <c r="Y110" i="3" s="1"/>
  <c r="S110" i="3"/>
  <c r="N110" i="3"/>
  <c r="J110" i="3"/>
  <c r="G110" i="3"/>
  <c r="S106" i="3"/>
  <c r="T106" i="3" s="1"/>
  <c r="F106" i="3"/>
  <c r="F107" i="3" s="1"/>
  <c r="Z105" i="3"/>
  <c r="X105" i="3"/>
  <c r="S105" i="3"/>
  <c r="N105" i="3"/>
  <c r="J105" i="3"/>
  <c r="G105" i="3"/>
  <c r="R104" i="3"/>
  <c r="Q104" i="3"/>
  <c r="M104" i="3"/>
  <c r="K104" i="3"/>
  <c r="H104" i="3"/>
  <c r="F104" i="3"/>
  <c r="X103" i="3"/>
  <c r="Y103" i="3" s="1"/>
  <c r="S103" i="3"/>
  <c r="T103" i="3" s="1"/>
  <c r="N103" i="3"/>
  <c r="J103" i="3"/>
  <c r="G103" i="3"/>
  <c r="X102" i="3"/>
  <c r="S102" i="3"/>
  <c r="N102" i="3"/>
  <c r="O102" i="3" s="1"/>
  <c r="J102" i="3"/>
  <c r="G102" i="3"/>
  <c r="AF101" i="3"/>
  <c r="AE101" i="3"/>
  <c r="AD101" i="3"/>
  <c r="AD150" i="3" s="1"/>
  <c r="AC101" i="3"/>
  <c r="AB101" i="3"/>
  <c r="AB150" i="3" s="1"/>
  <c r="AA101" i="3"/>
  <c r="Z101" i="3"/>
  <c r="V101" i="3"/>
  <c r="R101" i="3"/>
  <c r="Q101" i="3"/>
  <c r="M101" i="3"/>
  <c r="L101" i="3"/>
  <c r="K101" i="3"/>
  <c r="I101" i="3"/>
  <c r="H101" i="3"/>
  <c r="X100" i="3"/>
  <c r="Y100" i="3" s="1"/>
  <c r="N99" i="3"/>
  <c r="O99" i="3" s="1"/>
  <c r="U98" i="3"/>
  <c r="U101" i="3" s="1"/>
  <c r="X97" i="3"/>
  <c r="Y97" i="3" s="1"/>
  <c r="S97" i="3"/>
  <c r="T97" i="3" s="1"/>
  <c r="N97" i="3"/>
  <c r="J97" i="3"/>
  <c r="G97" i="3"/>
  <c r="V96" i="3"/>
  <c r="U96" i="3"/>
  <c r="R96" i="3"/>
  <c r="Q96" i="3"/>
  <c r="M96" i="3"/>
  <c r="K96" i="3"/>
  <c r="H96" i="3"/>
  <c r="F96" i="3"/>
  <c r="X95" i="3"/>
  <c r="Y95" i="3" s="1"/>
  <c r="S95" i="3"/>
  <c r="T95" i="3" s="1"/>
  <c r="N95" i="3"/>
  <c r="J95" i="3"/>
  <c r="G95" i="3"/>
  <c r="X94" i="3"/>
  <c r="Y94" i="3" s="1"/>
  <c r="S94" i="3"/>
  <c r="T94" i="3" s="1"/>
  <c r="N94" i="3"/>
  <c r="O94" i="3" s="1"/>
  <c r="J94" i="3"/>
  <c r="G94" i="3"/>
  <c r="X93" i="3"/>
  <c r="Y93" i="3" s="1"/>
  <c r="S93" i="3"/>
  <c r="N93" i="3"/>
  <c r="J93" i="3"/>
  <c r="G93" i="3"/>
  <c r="X92" i="3"/>
  <c r="Y92" i="3" s="1"/>
  <c r="S92" i="3"/>
  <c r="T92" i="3" s="1"/>
  <c r="N92" i="3"/>
  <c r="J92" i="3"/>
  <c r="G92" i="3"/>
  <c r="X91" i="3"/>
  <c r="Y91" i="3" s="1"/>
  <c r="S91" i="3"/>
  <c r="T91" i="3" s="1"/>
  <c r="N91" i="3"/>
  <c r="P91" i="3" s="1"/>
  <c r="J91" i="3"/>
  <c r="G91" i="3"/>
  <c r="X90" i="3"/>
  <c r="S90" i="3"/>
  <c r="N90" i="3"/>
  <c r="P90" i="3" s="1"/>
  <c r="J90" i="3"/>
  <c r="G90" i="3"/>
  <c r="R89" i="3"/>
  <c r="Q89" i="3"/>
  <c r="M89" i="3"/>
  <c r="L89" i="3"/>
  <c r="K89" i="3"/>
  <c r="I89" i="3"/>
  <c r="H89" i="3"/>
  <c r="X88" i="3"/>
  <c r="Y88" i="3" s="1"/>
  <c r="S88" i="3"/>
  <c r="T88" i="3" s="1"/>
  <c r="N88" i="3"/>
  <c r="P88" i="3" s="1"/>
  <c r="J88" i="3"/>
  <c r="G88" i="3"/>
  <c r="X87" i="3"/>
  <c r="Y87" i="3" s="1"/>
  <c r="S87" i="3"/>
  <c r="T87" i="3" s="1"/>
  <c r="N87" i="3"/>
  <c r="J87" i="3"/>
  <c r="G87" i="3"/>
  <c r="X86" i="3"/>
  <c r="Y86" i="3" s="1"/>
  <c r="S86" i="3"/>
  <c r="T86" i="3" s="1"/>
  <c r="N86" i="3"/>
  <c r="J86" i="3"/>
  <c r="G86" i="3"/>
  <c r="X85" i="3"/>
  <c r="Y85" i="3" s="1"/>
  <c r="S85" i="3"/>
  <c r="T85" i="3" s="1"/>
  <c r="N85" i="3"/>
  <c r="O85" i="3" s="1"/>
  <c r="J85" i="3"/>
  <c r="G85" i="3"/>
  <c r="X84" i="3"/>
  <c r="Y84" i="3" s="1"/>
  <c r="S84" i="3"/>
  <c r="T84" i="3" s="1"/>
  <c r="N84" i="3"/>
  <c r="J84" i="3"/>
  <c r="G84" i="3"/>
  <c r="X78" i="3"/>
  <c r="Y78" i="3" s="1"/>
  <c r="S78" i="3"/>
  <c r="T78" i="3" s="1"/>
  <c r="N78" i="3"/>
  <c r="J78" i="3"/>
  <c r="G78" i="3"/>
  <c r="X77" i="3"/>
  <c r="Y77" i="3" s="1"/>
  <c r="S77" i="3"/>
  <c r="T77" i="3" s="1"/>
  <c r="N77" i="3"/>
  <c r="J77" i="3"/>
  <c r="G77" i="3"/>
  <c r="X76" i="3"/>
  <c r="Y76" i="3" s="1"/>
  <c r="S76" i="3"/>
  <c r="T76" i="3" s="1"/>
  <c r="N76" i="3"/>
  <c r="J76" i="3"/>
  <c r="G76" i="3"/>
  <c r="X75" i="3"/>
  <c r="Y75" i="3" s="1"/>
  <c r="N74" i="3"/>
  <c r="U73" i="3"/>
  <c r="X72" i="3"/>
  <c r="Y72" i="3" s="1"/>
  <c r="N71" i="3"/>
  <c r="X70" i="3"/>
  <c r="Y70" i="3" s="1"/>
  <c r="J69" i="3"/>
  <c r="S68" i="3"/>
  <c r="T68" i="3" s="1"/>
  <c r="X67" i="3"/>
  <c r="Y67" i="3" s="1"/>
  <c r="S66" i="3"/>
  <c r="U65" i="3"/>
  <c r="X64" i="3"/>
  <c r="Y64" i="3" s="1"/>
  <c r="N63" i="3"/>
  <c r="X62" i="3"/>
  <c r="Y62" i="3" s="1"/>
  <c r="J61" i="3"/>
  <c r="S60" i="3"/>
  <c r="T60" i="3" s="1"/>
  <c r="X59" i="3"/>
  <c r="Y59" i="3" s="1"/>
  <c r="N58" i="3"/>
  <c r="S57" i="3"/>
  <c r="X55" i="3"/>
  <c r="Y55" i="3" s="1"/>
  <c r="S55" i="3"/>
  <c r="T55" i="3" s="1"/>
  <c r="N55" i="3"/>
  <c r="P55" i="3" s="1"/>
  <c r="J55" i="3"/>
  <c r="G55" i="3"/>
  <c r="X54" i="3"/>
  <c r="Y54" i="3" s="1"/>
  <c r="S54" i="3"/>
  <c r="T54" i="3" s="1"/>
  <c r="N54" i="3"/>
  <c r="J54" i="3"/>
  <c r="G54" i="3"/>
  <c r="S53" i="3"/>
  <c r="T53" i="3" s="1"/>
  <c r="X52" i="3"/>
  <c r="Y52" i="3" s="1"/>
  <c r="N51" i="3"/>
  <c r="S50" i="3"/>
  <c r="X49" i="3"/>
  <c r="Y49" i="3" s="1"/>
  <c r="F48" i="3"/>
  <c r="N48" i="3" s="1"/>
  <c r="X47" i="3"/>
  <c r="S47" i="3"/>
  <c r="N47" i="3"/>
  <c r="J47" i="3"/>
  <c r="G47" i="3"/>
  <c r="X45" i="3"/>
  <c r="S45" i="3"/>
  <c r="N45" i="3"/>
  <c r="J45" i="3"/>
  <c r="J46" i="3" s="1"/>
  <c r="G45" i="3"/>
  <c r="G46" i="3" s="1"/>
  <c r="N40" i="3"/>
  <c r="V38" i="3"/>
  <c r="U38" i="3"/>
  <c r="R38" i="3"/>
  <c r="Q38" i="3"/>
  <c r="O38" i="3"/>
  <c r="M38" i="3"/>
  <c r="K38" i="3"/>
  <c r="H38" i="3"/>
  <c r="F38" i="3"/>
  <c r="X37" i="3"/>
  <c r="Y37" i="3" s="1"/>
  <c r="S37" i="3"/>
  <c r="T37" i="3" s="1"/>
  <c r="N37" i="3"/>
  <c r="J37" i="3"/>
  <c r="G37" i="3"/>
  <c r="X39" i="3"/>
  <c r="S39" i="3"/>
  <c r="N39" i="3"/>
  <c r="J39" i="3"/>
  <c r="G39" i="3"/>
  <c r="X36" i="3"/>
  <c r="S36" i="3"/>
  <c r="N36" i="3"/>
  <c r="J36" i="3"/>
  <c r="G36" i="3"/>
  <c r="R35" i="3"/>
  <c r="Q35" i="3"/>
  <c r="M35" i="3"/>
  <c r="L35" i="3"/>
  <c r="K35" i="3"/>
  <c r="I35" i="3"/>
  <c r="H35" i="3"/>
  <c r="N34" i="3"/>
  <c r="X33" i="3"/>
  <c r="Y33" i="3" s="1"/>
  <c r="S33" i="3"/>
  <c r="T33" i="3" s="1"/>
  <c r="N33" i="3"/>
  <c r="O33" i="3" s="1"/>
  <c r="J33" i="3"/>
  <c r="G33" i="3"/>
  <c r="X32" i="3"/>
  <c r="S32" i="3"/>
  <c r="T32" i="3" s="1"/>
  <c r="N32" i="3"/>
  <c r="J32" i="3"/>
  <c r="G32" i="3"/>
  <c r="Y31" i="3"/>
  <c r="S31" i="3"/>
  <c r="T31" i="3" s="1"/>
  <c r="N31" i="3"/>
  <c r="J31" i="3"/>
  <c r="G31" i="3"/>
  <c r="V30" i="3"/>
  <c r="U30" i="3"/>
  <c r="R30" i="3"/>
  <c r="Q30" i="3"/>
  <c r="O30" i="3"/>
  <c r="M30" i="3"/>
  <c r="K30" i="3"/>
  <c r="H30" i="3"/>
  <c r="N29" i="3"/>
  <c r="X28" i="3"/>
  <c r="S28" i="3"/>
  <c r="N28" i="3"/>
  <c r="J28" i="3"/>
  <c r="G28" i="3"/>
  <c r="X27" i="3"/>
  <c r="Y27" i="3" s="1"/>
  <c r="S27" i="3"/>
  <c r="G27" i="3"/>
  <c r="V26" i="3"/>
  <c r="R26" i="3"/>
  <c r="Q26" i="3"/>
  <c r="M26" i="3"/>
  <c r="L26" i="3"/>
  <c r="K26" i="3"/>
  <c r="H26" i="3"/>
  <c r="F26" i="3"/>
  <c r="X25" i="3"/>
  <c r="Y25" i="3" s="1"/>
  <c r="S25" i="3"/>
  <c r="T25" i="3" s="1"/>
  <c r="N25" i="3"/>
  <c r="O25" i="3" s="1"/>
  <c r="O26" i="3" s="1"/>
  <c r="J25" i="3"/>
  <c r="G25" i="3"/>
  <c r="X24" i="3"/>
  <c r="S24" i="3"/>
  <c r="N24" i="3"/>
  <c r="J24" i="3"/>
  <c r="G24" i="3"/>
  <c r="V23" i="3"/>
  <c r="R23" i="3"/>
  <c r="Q23" i="3"/>
  <c r="M23" i="3"/>
  <c r="L23" i="3"/>
  <c r="K23" i="3"/>
  <c r="I23" i="3"/>
  <c r="H23" i="3"/>
  <c r="F23" i="3"/>
  <c r="X22" i="3"/>
  <c r="Y22" i="3" s="1"/>
  <c r="S22" i="3"/>
  <c r="T22" i="3" s="1"/>
  <c r="N22" i="3"/>
  <c r="P22" i="3" s="1"/>
  <c r="P23" i="3" s="1"/>
  <c r="J22" i="3"/>
  <c r="G22" i="3"/>
  <c r="A22" i="3"/>
  <c r="A24" i="3" s="1"/>
  <c r="A25" i="3" s="1"/>
  <c r="A27" i="3" s="1"/>
  <c r="A28" i="3" s="1"/>
  <c r="A29" i="3" s="1"/>
  <c r="A31" i="3" s="1"/>
  <c r="A32" i="3" s="1"/>
  <c r="A33" i="3" s="1"/>
  <c r="A34" i="3" s="1"/>
  <c r="A36" i="3" s="1"/>
  <c r="X21" i="3"/>
  <c r="S21" i="3"/>
  <c r="T21" i="3" s="1"/>
  <c r="N21" i="3"/>
  <c r="J21" i="3"/>
  <c r="G21" i="3"/>
  <c r="AI20" i="3"/>
  <c r="AI150" i="3" s="1"/>
  <c r="AG20" i="3"/>
  <c r="AG150" i="3" s="1"/>
  <c r="X20" i="3"/>
  <c r="S20" i="3"/>
  <c r="R20" i="3"/>
  <c r="Q20" i="3"/>
  <c r="J20" i="3"/>
  <c r="N19" i="3"/>
  <c r="Y19" i="3"/>
  <c r="T19" i="3"/>
  <c r="N18" i="3"/>
  <c r="W18" i="3" s="1"/>
  <c r="Y18" i="3"/>
  <c r="T18" i="3"/>
  <c r="N17" i="3"/>
  <c r="Y17" i="3"/>
  <c r="T17" i="3"/>
  <c r="N16" i="3"/>
  <c r="W16" i="3" s="1"/>
  <c r="Y16" i="3"/>
  <c r="T16" i="3"/>
  <c r="Y15" i="3"/>
  <c r="T15" i="3"/>
  <c r="N14" i="3"/>
  <c r="W14" i="3" s="1"/>
  <c r="Y14" i="3"/>
  <c r="T14" i="3"/>
  <c r="N13" i="3"/>
  <c r="Y13" i="3"/>
  <c r="T13" i="3"/>
  <c r="N12" i="3"/>
  <c r="W12" i="3" s="1"/>
  <c r="Y12" i="3"/>
  <c r="T12" i="3"/>
  <c r="N11" i="3"/>
  <c r="Y11" i="3"/>
  <c r="T11" i="3"/>
  <c r="N10" i="3"/>
  <c r="W10" i="3" s="1"/>
  <c r="Y10" i="3"/>
  <c r="T10" i="3"/>
  <c r="N9" i="3"/>
  <c r="Y9" i="3"/>
  <c r="T9" i="3"/>
  <c r="N8" i="3"/>
  <c r="W8" i="3" s="1"/>
  <c r="Y8" i="3"/>
  <c r="T8" i="3"/>
  <c r="Y7" i="3"/>
  <c r="T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N6" i="3"/>
  <c r="AH20" i="3"/>
  <c r="AH150" i="3" s="1"/>
  <c r="Y6" i="3"/>
  <c r="T6" i="3"/>
  <c r="W438" i="3" l="1"/>
  <c r="M211" i="3"/>
  <c r="T216" i="3"/>
  <c r="T27" i="3"/>
  <c r="S310" i="3"/>
  <c r="I150" i="3"/>
  <c r="V211" i="3"/>
  <c r="U211" i="3"/>
  <c r="H211" i="3"/>
  <c r="L211" i="3"/>
  <c r="H282" i="3"/>
  <c r="Q211" i="3"/>
  <c r="K282" i="3"/>
  <c r="H150" i="3"/>
  <c r="R211" i="3"/>
  <c r="I282" i="3"/>
  <c r="M282" i="3"/>
  <c r="K150" i="3"/>
  <c r="H303" i="3"/>
  <c r="L150" i="3"/>
  <c r="M150" i="3"/>
  <c r="L282" i="3"/>
  <c r="Q282" i="3"/>
  <c r="K303" i="3"/>
  <c r="M303" i="3"/>
  <c r="Q150" i="3"/>
  <c r="G310" i="3"/>
  <c r="R150" i="3"/>
  <c r="J310" i="3"/>
  <c r="AG441" i="3"/>
  <c r="R282" i="3"/>
  <c r="N310" i="3"/>
  <c r="AH441" i="3"/>
  <c r="I211" i="3"/>
  <c r="T309" i="3"/>
  <c r="V282" i="3"/>
  <c r="X310" i="3"/>
  <c r="AI441" i="3"/>
  <c r="F136" i="3"/>
  <c r="Y45" i="3"/>
  <c r="Y46" i="3" s="1"/>
  <c r="X46" i="3"/>
  <c r="O45" i="3"/>
  <c r="O46" i="3" s="1"/>
  <c r="N46" i="3"/>
  <c r="T45" i="3"/>
  <c r="T46" i="3" s="1"/>
  <c r="S46" i="3"/>
  <c r="W182" i="3"/>
  <c r="W194" i="3"/>
  <c r="W246" i="3"/>
  <c r="W37" i="3"/>
  <c r="W253" i="3"/>
  <c r="W269" i="3"/>
  <c r="W315" i="3"/>
  <c r="W437" i="3"/>
  <c r="W216" i="3"/>
  <c r="S272" i="3"/>
  <c r="W301" i="3"/>
  <c r="W103" i="3"/>
  <c r="W115" i="3"/>
  <c r="W144" i="3"/>
  <c r="W254" i="3"/>
  <c r="W195" i="3"/>
  <c r="W251" i="3"/>
  <c r="W265" i="3"/>
  <c r="T112" i="3"/>
  <c r="T187" i="3"/>
  <c r="T292" i="3"/>
  <c r="P305" i="3"/>
  <c r="W305" i="3"/>
  <c r="X425" i="3"/>
  <c r="Y425" i="3" s="1"/>
  <c r="Z425" i="3"/>
  <c r="O110" i="3"/>
  <c r="W110" i="3"/>
  <c r="W147" i="3"/>
  <c r="O218" i="3"/>
  <c r="W218" i="3"/>
  <c r="P275" i="3"/>
  <c r="W275" i="3"/>
  <c r="AC426" i="3"/>
  <c r="AA426" i="3"/>
  <c r="AF426" i="3"/>
  <c r="N255" i="3"/>
  <c r="W264" i="3"/>
  <c r="P234" i="3"/>
  <c r="W234" i="3"/>
  <c r="P278" i="3"/>
  <c r="W278" i="3"/>
  <c r="W309" i="3"/>
  <c r="P355" i="3"/>
  <c r="W355" i="3"/>
  <c r="T90" i="3"/>
  <c r="S96" i="3"/>
  <c r="W311" i="3"/>
  <c r="P366" i="3"/>
  <c r="W366" i="3"/>
  <c r="T191" i="3"/>
  <c r="W212" i="3"/>
  <c r="N215" i="3"/>
  <c r="T212" i="3"/>
  <c r="P276" i="3"/>
  <c r="W276" i="3"/>
  <c r="O299" i="3"/>
  <c r="W299" i="3"/>
  <c r="T47" i="3"/>
  <c r="W205" i="3"/>
  <c r="W220" i="3"/>
  <c r="W233" i="3"/>
  <c r="O292" i="3"/>
  <c r="P317" i="3"/>
  <c r="W317" i="3"/>
  <c r="P406" i="3"/>
  <c r="W406" i="3"/>
  <c r="O93" i="3"/>
  <c r="W93" i="3"/>
  <c r="P148" i="3"/>
  <c r="W148" i="3"/>
  <c r="A37" i="3"/>
  <c r="A39" i="3" s="1"/>
  <c r="A40" i="3" s="1"/>
  <c r="A41" i="3" s="1"/>
  <c r="A42" i="3" s="1"/>
  <c r="A44" i="3" s="1"/>
  <c r="W146" i="3"/>
  <c r="P179" i="3"/>
  <c r="W179" i="3"/>
  <c r="F420" i="3"/>
  <c r="T311" i="3"/>
  <c r="O311" i="3"/>
  <c r="AC311" i="3"/>
  <c r="AC313" i="3"/>
  <c r="Y238" i="3"/>
  <c r="N243" i="3"/>
  <c r="J239" i="3"/>
  <c r="J240" i="3" s="1"/>
  <c r="F240" i="3"/>
  <c r="S243" i="3"/>
  <c r="P256" i="3"/>
  <c r="N261" i="3"/>
  <c r="T238" i="3"/>
  <c r="J243" i="3"/>
  <c r="G243" i="3"/>
  <c r="X243" i="3"/>
  <c r="W231" i="3"/>
  <c r="T105" i="3"/>
  <c r="T107" i="3" s="1"/>
  <c r="S107" i="3"/>
  <c r="Y105" i="3"/>
  <c r="AF105" i="3"/>
  <c r="AF107" i="3" s="1"/>
  <c r="Z107" i="3"/>
  <c r="T118" i="3"/>
  <c r="Y118" i="3"/>
  <c r="S121" i="3"/>
  <c r="T121" i="3" s="1"/>
  <c r="AC110" i="3"/>
  <c r="AC111" i="3" s="1"/>
  <c r="Z111" i="3"/>
  <c r="G111" i="3"/>
  <c r="S111" i="3"/>
  <c r="J111" i="3"/>
  <c r="Y109" i="3"/>
  <c r="Y111" i="3" s="1"/>
  <c r="X111" i="3"/>
  <c r="O108" i="3"/>
  <c r="N111" i="3"/>
  <c r="W431" i="3"/>
  <c r="T39" i="3"/>
  <c r="Y39" i="3"/>
  <c r="X41" i="3"/>
  <c r="Y41" i="3" s="1"/>
  <c r="O151" i="3"/>
  <c r="T152" i="3"/>
  <c r="S153" i="3"/>
  <c r="Y152" i="3"/>
  <c r="Y156" i="3"/>
  <c r="W32" i="3"/>
  <c r="W77" i="3"/>
  <c r="W306" i="3"/>
  <c r="G173" i="3"/>
  <c r="F249" i="3"/>
  <c r="W263" i="3"/>
  <c r="W160" i="3"/>
  <c r="W208" i="3"/>
  <c r="W84" i="3"/>
  <c r="W109" i="3"/>
  <c r="G23" i="3"/>
  <c r="W28" i="3"/>
  <c r="S26" i="3"/>
  <c r="X23" i="3"/>
  <c r="J26" i="3"/>
  <c r="G183" i="3"/>
  <c r="W31" i="3"/>
  <c r="W47" i="3"/>
  <c r="W76" i="3"/>
  <c r="J168" i="3"/>
  <c r="N232" i="3"/>
  <c r="P232" i="3" s="1"/>
  <c r="W36" i="3"/>
  <c r="F190" i="3"/>
  <c r="W252" i="3"/>
  <c r="W54" i="3"/>
  <c r="W87" i="3"/>
  <c r="W203" i="3"/>
  <c r="W270" i="3"/>
  <c r="W130" i="3"/>
  <c r="W236" i="3"/>
  <c r="W164" i="3"/>
  <c r="W95" i="3"/>
  <c r="W174" i="3"/>
  <c r="W331" i="3"/>
  <c r="W430" i="3"/>
  <c r="G272" i="3"/>
  <c r="N69" i="3"/>
  <c r="O69" i="3" s="1"/>
  <c r="J104" i="3"/>
  <c r="J255" i="3"/>
  <c r="S289" i="3"/>
  <c r="T289" i="3" s="1"/>
  <c r="N297" i="3"/>
  <c r="G141" i="3"/>
  <c r="W198" i="3"/>
  <c r="S145" i="3"/>
  <c r="T145" i="3" s="1"/>
  <c r="O203" i="3"/>
  <c r="G267" i="3"/>
  <c r="F30" i="3"/>
  <c r="G38" i="3"/>
  <c r="G72" i="3"/>
  <c r="W105" i="3"/>
  <c r="P430" i="3"/>
  <c r="N433" i="3"/>
  <c r="W433" i="3" s="1"/>
  <c r="N50" i="3"/>
  <c r="O50" i="3" s="1"/>
  <c r="W78" i="3"/>
  <c r="J183" i="3"/>
  <c r="G206" i="3"/>
  <c r="X298" i="3"/>
  <c r="Y298" i="3" s="1"/>
  <c r="W86" i="3"/>
  <c r="G186" i="3"/>
  <c r="G232" i="3"/>
  <c r="S427" i="3"/>
  <c r="T427" i="3" s="1"/>
  <c r="W39" i="3"/>
  <c r="X96" i="3"/>
  <c r="J98" i="3"/>
  <c r="J141" i="3"/>
  <c r="G156" i="3"/>
  <c r="G324" i="3"/>
  <c r="Z380" i="3"/>
  <c r="AF380" i="3" s="1"/>
  <c r="S428" i="3"/>
  <c r="T428" i="3" s="1"/>
  <c r="W55" i="3"/>
  <c r="S98" i="3"/>
  <c r="J391" i="3"/>
  <c r="Z428" i="3"/>
  <c r="AF428" i="3" s="1"/>
  <c r="X26" i="3"/>
  <c r="P54" i="3"/>
  <c r="S63" i="3"/>
  <c r="T63" i="3" s="1"/>
  <c r="S69" i="3"/>
  <c r="T69" i="3" s="1"/>
  <c r="W88" i="3"/>
  <c r="J186" i="3"/>
  <c r="G404" i="3"/>
  <c r="G425" i="3"/>
  <c r="J23" i="3"/>
  <c r="P160" i="3"/>
  <c r="S255" i="3"/>
  <c r="W273" i="3"/>
  <c r="G280" i="3"/>
  <c r="G281" i="3" s="1"/>
  <c r="N285" i="3"/>
  <c r="O285" i="3" s="1"/>
  <c r="J298" i="3"/>
  <c r="Z328" i="3"/>
  <c r="AA328" i="3" s="1"/>
  <c r="N425" i="3"/>
  <c r="P425" i="3" s="1"/>
  <c r="N434" i="3"/>
  <c r="W434" i="3" s="1"/>
  <c r="S38" i="3"/>
  <c r="J70" i="3"/>
  <c r="G106" i="3"/>
  <c r="G107" i="3" s="1"/>
  <c r="AF110" i="3"/>
  <c r="S280" i="3"/>
  <c r="S281" i="3" s="1"/>
  <c r="N329" i="3"/>
  <c r="P329" i="3" s="1"/>
  <c r="O331" i="3"/>
  <c r="X342" i="3"/>
  <c r="Y342" i="3" s="1"/>
  <c r="G65" i="3"/>
  <c r="O76" i="3"/>
  <c r="O105" i="3"/>
  <c r="X106" i="3"/>
  <c r="Y106" i="3" s="1"/>
  <c r="W131" i="3"/>
  <c r="G140" i="3"/>
  <c r="P231" i="3"/>
  <c r="T250" i="3"/>
  <c r="T255" i="3" s="1"/>
  <c r="W295" i="3"/>
  <c r="O315" i="3"/>
  <c r="G319" i="3"/>
  <c r="G326" i="3"/>
  <c r="S330" i="3"/>
  <c r="T330" i="3" s="1"/>
  <c r="X395" i="3"/>
  <c r="Y395" i="3" s="1"/>
  <c r="Z345" i="3"/>
  <c r="AC345" i="3" s="1"/>
  <c r="AA355" i="3"/>
  <c r="AE355" i="3" s="1"/>
  <c r="G350" i="3"/>
  <c r="W354" i="3"/>
  <c r="N404" i="3"/>
  <c r="P404" i="3" s="1"/>
  <c r="AF406" i="3"/>
  <c r="G432" i="3"/>
  <c r="J38" i="3"/>
  <c r="G51" i="3"/>
  <c r="J65" i="3"/>
  <c r="G73" i="3"/>
  <c r="O84" i="3"/>
  <c r="G99" i="3"/>
  <c r="G124" i="3"/>
  <c r="S176" i="3"/>
  <c r="T176" i="3" s="1"/>
  <c r="T186" i="3"/>
  <c r="G196" i="3"/>
  <c r="P295" i="3"/>
  <c r="Y309" i="3"/>
  <c r="Y310" i="3" s="1"/>
  <c r="N319" i="3"/>
  <c r="O319" i="3" s="1"/>
  <c r="J343" i="3"/>
  <c r="AC366" i="3"/>
  <c r="G371" i="3"/>
  <c r="X398" i="3"/>
  <c r="Y398" i="3" s="1"/>
  <c r="X432" i="3"/>
  <c r="Y432" i="3" s="1"/>
  <c r="S209" i="3"/>
  <c r="T209" i="3" s="1"/>
  <c r="P252" i="3"/>
  <c r="J289" i="3"/>
  <c r="W313" i="3"/>
  <c r="G323" i="3"/>
  <c r="S338" i="3"/>
  <c r="T338" i="3" s="1"/>
  <c r="N343" i="3"/>
  <c r="P343" i="3" s="1"/>
  <c r="G347" i="3"/>
  <c r="X377" i="3"/>
  <c r="Y377" i="3" s="1"/>
  <c r="N408" i="3"/>
  <c r="P408" i="3" s="1"/>
  <c r="G74" i="3"/>
  <c r="W85" i="3"/>
  <c r="G121" i="3"/>
  <c r="P144" i="3"/>
  <c r="O109" i="3"/>
  <c r="S156" i="3"/>
  <c r="N172" i="3"/>
  <c r="W172" i="3" s="1"/>
  <c r="N323" i="3"/>
  <c r="P323" i="3" s="1"/>
  <c r="AC331" i="3"/>
  <c r="AE331" i="3" s="1"/>
  <c r="J336" i="3"/>
  <c r="Z343" i="3"/>
  <c r="AF343" i="3" s="1"/>
  <c r="G352" i="3"/>
  <c r="S335" i="3"/>
  <c r="T335" i="3" s="1"/>
  <c r="J429" i="3"/>
  <c r="N41" i="3"/>
  <c r="N43" i="3" s="1"/>
  <c r="U67" i="3"/>
  <c r="V67" i="3" s="1"/>
  <c r="AC105" i="3"/>
  <c r="AC107" i="3" s="1"/>
  <c r="N141" i="3"/>
  <c r="O141" i="3" s="1"/>
  <c r="J161" i="3"/>
  <c r="G197" i="3"/>
  <c r="P208" i="3"/>
  <c r="G226" i="3"/>
  <c r="J232" i="3"/>
  <c r="P236" i="3"/>
  <c r="AF311" i="3"/>
  <c r="AA317" i="3"/>
  <c r="S320" i="3"/>
  <c r="T320" i="3" s="1"/>
  <c r="G329" i="3"/>
  <c r="X336" i="3"/>
  <c r="Y336" i="3" s="1"/>
  <c r="J372" i="3"/>
  <c r="X391" i="3"/>
  <c r="Y391" i="3" s="1"/>
  <c r="J409" i="3"/>
  <c r="G423" i="3"/>
  <c r="T20" i="3"/>
  <c r="P12" i="3"/>
  <c r="X38" i="3"/>
  <c r="S49" i="3"/>
  <c r="T49" i="3" s="1"/>
  <c r="G59" i="3"/>
  <c r="G64" i="3"/>
  <c r="T137" i="3"/>
  <c r="T138" i="3" s="1"/>
  <c r="S161" i="3"/>
  <c r="N186" i="3"/>
  <c r="S197" i="3"/>
  <c r="T197" i="3" s="1"/>
  <c r="S199" i="3"/>
  <c r="T199" i="3" s="1"/>
  <c r="J226" i="3"/>
  <c r="W235" i="3"/>
  <c r="AF315" i="3"/>
  <c r="AC317" i="3"/>
  <c r="N344" i="3"/>
  <c r="P344" i="3" s="1"/>
  <c r="J403" i="3"/>
  <c r="AF414" i="3"/>
  <c r="N423" i="3"/>
  <c r="J428" i="3"/>
  <c r="W21" i="3"/>
  <c r="Y24" i="3"/>
  <c r="Y26" i="3" s="1"/>
  <c r="G29" i="3"/>
  <c r="G30" i="3" s="1"/>
  <c r="U59" i="3"/>
  <c r="V59" i="3" s="1"/>
  <c r="J64" i="3"/>
  <c r="S72" i="3"/>
  <c r="T72" i="3" s="1"/>
  <c r="S104" i="3"/>
  <c r="N153" i="3"/>
  <c r="J219" i="3"/>
  <c r="P235" i="3"/>
  <c r="N280" i="3"/>
  <c r="O280" i="3" s="1"/>
  <c r="O281" i="3" s="1"/>
  <c r="G321" i="3"/>
  <c r="X337" i="3"/>
  <c r="Y337" i="3" s="1"/>
  <c r="J342" i="3"/>
  <c r="G368" i="3"/>
  <c r="N428" i="3"/>
  <c r="P428" i="3" s="1"/>
  <c r="W17" i="3"/>
  <c r="O17" i="3"/>
  <c r="T23" i="3"/>
  <c r="T24" i="3"/>
  <c r="T26" i="3" s="1"/>
  <c r="W25" i="3"/>
  <c r="J29" i="3"/>
  <c r="N38" i="3"/>
  <c r="S41" i="3"/>
  <c r="T41" i="3" s="1"/>
  <c r="W45" i="3"/>
  <c r="W46" i="3" s="1"/>
  <c r="P47" i="3"/>
  <c r="G49" i="3"/>
  <c r="G58" i="3"/>
  <c r="N61" i="3"/>
  <c r="O61" i="3" s="1"/>
  <c r="G67" i="3"/>
  <c r="J72" i="3"/>
  <c r="W92" i="3"/>
  <c r="F101" i="3"/>
  <c r="X114" i="3"/>
  <c r="Y114" i="3" s="1"/>
  <c r="F116" i="3"/>
  <c r="N122" i="3"/>
  <c r="O122" i="3" s="1"/>
  <c r="S124" i="3"/>
  <c r="T124" i="3" s="1"/>
  <c r="G127" i="3"/>
  <c r="J129" i="3"/>
  <c r="J145" i="3"/>
  <c r="J149" i="3" s="1"/>
  <c r="N162" i="3"/>
  <c r="O162" i="3" s="1"/>
  <c r="J167" i="3"/>
  <c r="J176" i="3"/>
  <c r="N178" i="3"/>
  <c r="J187" i="3"/>
  <c r="X193" i="3"/>
  <c r="Y193" i="3" s="1"/>
  <c r="S193" i="3"/>
  <c r="T193" i="3" s="1"/>
  <c r="N193" i="3"/>
  <c r="O193" i="3" s="1"/>
  <c r="J193" i="3"/>
  <c r="G193" i="3"/>
  <c r="O195" i="3"/>
  <c r="P251" i="3"/>
  <c r="S29" i="3"/>
  <c r="T29" i="3" s="1"/>
  <c r="J49" i="3"/>
  <c r="S61" i="3"/>
  <c r="T61" i="3" s="1"/>
  <c r="S67" i="3"/>
  <c r="T67" i="3" s="1"/>
  <c r="O92" i="3"/>
  <c r="W94" i="3"/>
  <c r="S99" i="3"/>
  <c r="T99" i="3" s="1"/>
  <c r="AA110" i="3"/>
  <c r="N129" i="3"/>
  <c r="P129" i="3" s="1"/>
  <c r="N139" i="3"/>
  <c r="S141" i="3"/>
  <c r="T141" i="3" s="1"/>
  <c r="N145" i="3"/>
  <c r="P145" i="3" s="1"/>
  <c r="J153" i="3"/>
  <c r="G161" i="3"/>
  <c r="F180" i="3"/>
  <c r="S167" i="3"/>
  <c r="T167" i="3" s="1"/>
  <c r="G172" i="3"/>
  <c r="N176" i="3"/>
  <c r="N187" i="3"/>
  <c r="T273" i="3"/>
  <c r="Z369" i="3"/>
  <c r="AA369" i="3" s="1"/>
  <c r="S369" i="3"/>
  <c r="T369" i="3" s="1"/>
  <c r="N369" i="3"/>
  <c r="G369" i="3"/>
  <c r="G334" i="3"/>
  <c r="S334" i="3"/>
  <c r="T334" i="3" s="1"/>
  <c r="N334" i="3"/>
  <c r="J334" i="3"/>
  <c r="X334" i="3"/>
  <c r="Y334" i="3" s="1"/>
  <c r="N389" i="3"/>
  <c r="J389" i="3"/>
  <c r="X312" i="3"/>
  <c r="Y312" i="3" s="1"/>
  <c r="J312" i="3"/>
  <c r="Y20" i="3"/>
  <c r="P28" i="3"/>
  <c r="G57" i="3"/>
  <c r="S59" i="3"/>
  <c r="T59" i="3" s="1"/>
  <c r="J62" i="3"/>
  <c r="N64" i="3"/>
  <c r="S65" i="3"/>
  <c r="T65" i="3" s="1"/>
  <c r="G71" i="3"/>
  <c r="G75" i="3"/>
  <c r="P77" i="3"/>
  <c r="J96" i="3"/>
  <c r="T93" i="3"/>
  <c r="G100" i="3"/>
  <c r="J113" i="3"/>
  <c r="J121" i="3"/>
  <c r="G119" i="3"/>
  <c r="J125" i="3"/>
  <c r="G128" i="3"/>
  <c r="W152" i="3"/>
  <c r="N161" i="3"/>
  <c r="P161" i="3" s="1"/>
  <c r="J165" i="3"/>
  <c r="G170" i="3"/>
  <c r="P174" i="3"/>
  <c r="W181" i="3"/>
  <c r="Y186" i="3"/>
  <c r="W191" i="3"/>
  <c r="O191" i="3"/>
  <c r="P194" i="3"/>
  <c r="P253" i="3"/>
  <c r="Z318" i="3"/>
  <c r="AA318" i="3" s="1"/>
  <c r="S318" i="3"/>
  <c r="T318" i="3" s="1"/>
  <c r="N318" i="3"/>
  <c r="G318" i="3"/>
  <c r="X402" i="3"/>
  <c r="Y402" i="3" s="1"/>
  <c r="Z402" i="3"/>
  <c r="AD402" i="3" s="1"/>
  <c r="U402" i="3"/>
  <c r="V402" i="3" s="1"/>
  <c r="S402" i="3"/>
  <c r="T402" i="3" s="1"/>
  <c r="J402" i="3"/>
  <c r="G402" i="3"/>
  <c r="G26" i="3"/>
  <c r="J27" i="3"/>
  <c r="P32" i="3"/>
  <c r="P35" i="3" s="1"/>
  <c r="Y36" i="3"/>
  <c r="Y38" i="3" s="1"/>
  <c r="G40" i="3"/>
  <c r="G48" i="3"/>
  <c r="G52" i="3"/>
  <c r="J57" i="3"/>
  <c r="J71" i="3"/>
  <c r="N75" i="3"/>
  <c r="P75" i="3" s="1"/>
  <c r="J100" i="3"/>
  <c r="N113" i="3"/>
  <c r="N116" i="3" s="1"/>
  <c r="S119" i="3"/>
  <c r="T119" i="3" s="1"/>
  <c r="N125" i="3"/>
  <c r="O125" i="3" s="1"/>
  <c r="J128" i="3"/>
  <c r="N165" i="3"/>
  <c r="O165" i="3" s="1"/>
  <c r="J170" i="3"/>
  <c r="S186" i="3"/>
  <c r="T241" i="3"/>
  <c r="T243" i="3" s="1"/>
  <c r="P269" i="3"/>
  <c r="P272" i="3" s="1"/>
  <c r="G288" i="3"/>
  <c r="N288" i="3"/>
  <c r="O288" i="3" s="1"/>
  <c r="J288" i="3"/>
  <c r="Z341" i="3"/>
  <c r="AA341" i="3" s="1"/>
  <c r="X341" i="3"/>
  <c r="Y341" i="3" s="1"/>
  <c r="N341" i="3"/>
  <c r="O341" i="3" s="1"/>
  <c r="J341" i="3"/>
  <c r="Z383" i="3"/>
  <c r="AA383" i="3" s="1"/>
  <c r="N383" i="3"/>
  <c r="P383" i="3" s="1"/>
  <c r="J383" i="3"/>
  <c r="J48" i="3"/>
  <c r="G50" i="3"/>
  <c r="S52" i="3"/>
  <c r="T52" i="3" s="1"/>
  <c r="N57" i="3"/>
  <c r="O57" i="3" s="1"/>
  <c r="G63" i="3"/>
  <c r="S64" i="3"/>
  <c r="T64" i="3" s="1"/>
  <c r="S71" i="3"/>
  <c r="T71" i="3" s="1"/>
  <c r="J73" i="3"/>
  <c r="S75" i="3"/>
  <c r="T75" i="3" s="1"/>
  <c r="X98" i="3"/>
  <c r="Y98" i="3" s="1"/>
  <c r="S100" i="3"/>
  <c r="T100" i="3" s="1"/>
  <c r="T110" i="3"/>
  <c r="W112" i="3"/>
  <c r="S128" i="3"/>
  <c r="T128" i="3" s="1"/>
  <c r="P130" i="3"/>
  <c r="T131" i="3"/>
  <c r="W137" i="3"/>
  <c r="W138" i="3" s="1"/>
  <c r="T143" i="3"/>
  <c r="W157" i="3"/>
  <c r="S170" i="3"/>
  <c r="T170" i="3" s="1"/>
  <c r="J177" i="3"/>
  <c r="N183" i="3"/>
  <c r="X186" i="3"/>
  <c r="N230" i="3"/>
  <c r="S230" i="3"/>
  <c r="T230" i="3" s="1"/>
  <c r="J230" i="3"/>
  <c r="G379" i="3"/>
  <c r="Z379" i="3"/>
  <c r="AA379" i="3" s="1"/>
  <c r="S379" i="3"/>
  <c r="T379" i="3" s="1"/>
  <c r="G411" i="3"/>
  <c r="Z411" i="3"/>
  <c r="S411" i="3"/>
  <c r="N411" i="3"/>
  <c r="P411" i="3" s="1"/>
  <c r="J411" i="3"/>
  <c r="X422" i="3"/>
  <c r="Y422" i="3" s="1"/>
  <c r="S422" i="3"/>
  <c r="T422" i="3" s="1"/>
  <c r="N422" i="3"/>
  <c r="J422" i="3"/>
  <c r="G422" i="3"/>
  <c r="Z422" i="3"/>
  <c r="AF422" i="3" s="1"/>
  <c r="W24" i="3"/>
  <c r="S34" i="3"/>
  <c r="T34" i="3" s="1"/>
  <c r="T35" i="3" s="1"/>
  <c r="G41" i="3"/>
  <c r="S48" i="3"/>
  <c r="T48" i="3" s="1"/>
  <c r="J50" i="3"/>
  <c r="U52" i="3"/>
  <c r="V52" i="3" s="1"/>
  <c r="J63" i="3"/>
  <c r="G66" i="3"/>
  <c r="S73" i="3"/>
  <c r="T73" i="3" s="1"/>
  <c r="Z322" i="3"/>
  <c r="AA322" i="3" s="1"/>
  <c r="S322" i="3"/>
  <c r="T322" i="3" s="1"/>
  <c r="N322" i="3"/>
  <c r="G322" i="3"/>
  <c r="G412" i="3"/>
  <c r="Z412" i="3"/>
  <c r="AF412" i="3" s="1"/>
  <c r="S412" i="3"/>
  <c r="N412" i="3"/>
  <c r="J412" i="3"/>
  <c r="O21" i="3"/>
  <c r="O23" i="3" s="1"/>
  <c r="J122" i="3"/>
  <c r="J124" i="3"/>
  <c r="G145" i="3"/>
  <c r="G149" i="3" s="1"/>
  <c r="P146" i="3"/>
  <c r="W151" i="3"/>
  <c r="J162" i="3"/>
  <c r="T164" i="3"/>
  <c r="G167" i="3"/>
  <c r="J171" i="3"/>
  <c r="G176" i="3"/>
  <c r="G178" i="3"/>
  <c r="G187" i="3"/>
  <c r="G190" i="3" s="1"/>
  <c r="J188" i="3"/>
  <c r="P258" i="3"/>
  <c r="W258" i="3"/>
  <c r="G375" i="3"/>
  <c r="Z375" i="3"/>
  <c r="AA375" i="3" s="1"/>
  <c r="X375" i="3"/>
  <c r="Y375" i="3" s="1"/>
  <c r="S375" i="3"/>
  <c r="T375" i="3" s="1"/>
  <c r="Z397" i="3"/>
  <c r="AC397" i="3" s="1"/>
  <c r="S397" i="3"/>
  <c r="T397" i="3" s="1"/>
  <c r="X416" i="3"/>
  <c r="Y416" i="3" s="1"/>
  <c r="S416" i="3"/>
  <c r="T416" i="3" s="1"/>
  <c r="J196" i="3"/>
  <c r="G199" i="3"/>
  <c r="G209" i="3"/>
  <c r="S219" i="3"/>
  <c r="T219" i="3" s="1"/>
  <c r="G225" i="3"/>
  <c r="W242" i="3"/>
  <c r="P246" i="3"/>
  <c r="G255" i="3"/>
  <c r="J274" i="3"/>
  <c r="J279" i="3" s="1"/>
  <c r="W292" i="3"/>
  <c r="G296" i="3"/>
  <c r="W300" i="3"/>
  <c r="P301" i="3"/>
  <c r="T304" i="3"/>
  <c r="N320" i="3"/>
  <c r="N330" i="3"/>
  <c r="N337" i="3"/>
  <c r="O337" i="3" s="1"/>
  <c r="N338" i="3"/>
  <c r="J344" i="3"/>
  <c r="AF355" i="3"/>
  <c r="N335" i="3"/>
  <c r="S367" i="3"/>
  <c r="T367" i="3" s="1"/>
  <c r="S370" i="3"/>
  <c r="T370" i="3" s="1"/>
  <c r="S340" i="3"/>
  <c r="T340" i="3" s="1"/>
  <c r="Z346" i="3"/>
  <c r="AC346" i="3" s="1"/>
  <c r="S380" i="3"/>
  <c r="T380" i="3" s="1"/>
  <c r="Z382" i="3"/>
  <c r="AA382" i="3" s="1"/>
  <c r="S393" i="3"/>
  <c r="T393" i="3" s="1"/>
  <c r="S401" i="3"/>
  <c r="T401" i="3" s="1"/>
  <c r="AA421" i="3"/>
  <c r="J427" i="3"/>
  <c r="Z429" i="3"/>
  <c r="AA424" i="3"/>
  <c r="G433" i="3"/>
  <c r="G434" i="3"/>
  <c r="P437" i="3"/>
  <c r="P438" i="3"/>
  <c r="G192" i="3"/>
  <c r="S196" i="3"/>
  <c r="J199" i="3"/>
  <c r="N209" i="3"/>
  <c r="J272" i="3"/>
  <c r="P273" i="3"/>
  <c r="N274" i="3"/>
  <c r="N279" i="3" s="1"/>
  <c r="J285" i="3"/>
  <c r="X339" i="3"/>
  <c r="Y339" i="3" s="1"/>
  <c r="X345" i="3"/>
  <c r="Y345" i="3" s="1"/>
  <c r="S377" i="3"/>
  <c r="T377" i="3" s="1"/>
  <c r="X380" i="3"/>
  <c r="Y380" i="3" s="1"/>
  <c r="S391" i="3"/>
  <c r="T391" i="3" s="1"/>
  <c r="X393" i="3"/>
  <c r="Y393" i="3" s="1"/>
  <c r="U398" i="3"/>
  <c r="V398" i="3" s="1"/>
  <c r="X401" i="3"/>
  <c r="Y401" i="3" s="1"/>
  <c r="G403" i="3"/>
  <c r="J404" i="3"/>
  <c r="J408" i="3"/>
  <c r="AC421" i="3"/>
  <c r="N427" i="3"/>
  <c r="O427" i="3" s="1"/>
  <c r="J433" i="3"/>
  <c r="J434" i="3"/>
  <c r="AF438" i="3"/>
  <c r="N206" i="3"/>
  <c r="N272" i="3"/>
  <c r="S274" i="3"/>
  <c r="T274" i="3" s="1"/>
  <c r="S319" i="3"/>
  <c r="T319" i="3" s="1"/>
  <c r="S323" i="3"/>
  <c r="T323" i="3" s="1"/>
  <c r="S329" i="3"/>
  <c r="T329" i="3" s="1"/>
  <c r="AF331" i="3"/>
  <c r="S336" i="3"/>
  <c r="T336" i="3" s="1"/>
  <c r="N342" i="3"/>
  <c r="P342" i="3" s="1"/>
  <c r="X344" i="3"/>
  <c r="Y344" i="3" s="1"/>
  <c r="X347" i="3"/>
  <c r="Y347" i="3" s="1"/>
  <c r="X350" i="3"/>
  <c r="Y350" i="3" s="1"/>
  <c r="X352" i="3"/>
  <c r="Y352" i="3" s="1"/>
  <c r="AA335" i="3"/>
  <c r="N368" i="3"/>
  <c r="O368" i="3" s="1"/>
  <c r="N371" i="3"/>
  <c r="S372" i="3"/>
  <c r="T372" i="3" s="1"/>
  <c r="Z377" i="3"/>
  <c r="AF377" i="3" s="1"/>
  <c r="S403" i="3"/>
  <c r="T403" i="3" s="1"/>
  <c r="S404" i="3"/>
  <c r="T404" i="3" s="1"/>
  <c r="N409" i="3"/>
  <c r="W421" i="3"/>
  <c r="J423" i="3"/>
  <c r="J425" i="3"/>
  <c r="N429" i="3"/>
  <c r="W424" i="3"/>
  <c r="N432" i="3"/>
  <c r="W432" i="3" s="1"/>
  <c r="Z434" i="3"/>
  <c r="AF434" i="3" s="1"/>
  <c r="S206" i="3"/>
  <c r="N226" i="3"/>
  <c r="P226" i="3" s="1"/>
  <c r="G245" i="3"/>
  <c r="G248" i="3"/>
  <c r="J267" i="3"/>
  <c r="O263" i="3"/>
  <c r="P264" i="3"/>
  <c r="P265" i="3"/>
  <c r="O268" i="3"/>
  <c r="O272" i="3" s="1"/>
  <c r="J395" i="3"/>
  <c r="X338" i="3"/>
  <c r="Y338" i="3" s="1"/>
  <c r="AA365" i="3"/>
  <c r="AA366" i="3"/>
  <c r="AE366" i="3" s="1"/>
  <c r="AC335" i="3"/>
  <c r="S368" i="3"/>
  <c r="T368" i="3" s="1"/>
  <c r="S371" i="3"/>
  <c r="T371" i="3" s="1"/>
  <c r="U403" i="3"/>
  <c r="V403" i="3" s="1"/>
  <c r="S408" i="3"/>
  <c r="T408" i="3" s="1"/>
  <c r="S409" i="3"/>
  <c r="T409" i="3" s="1"/>
  <c r="Z427" i="3"/>
  <c r="X433" i="3"/>
  <c r="Y433" i="3" s="1"/>
  <c r="P205" i="3"/>
  <c r="S213" i="3"/>
  <c r="W213" i="3" s="1"/>
  <c r="J217" i="3"/>
  <c r="G219" i="3"/>
  <c r="S226" i="3"/>
  <c r="T226" i="3" s="1"/>
  <c r="J248" i="3"/>
  <c r="I440" i="3"/>
  <c r="I441" i="3" s="1"/>
  <c r="AA313" i="3"/>
  <c r="S373" i="3"/>
  <c r="T373" i="3" s="1"/>
  <c r="G393" i="3"/>
  <c r="G401" i="3"/>
  <c r="Z404" i="3"/>
  <c r="AC404" i="3" s="1"/>
  <c r="AA414" i="3"/>
  <c r="AE414" i="3" s="1"/>
  <c r="S423" i="3"/>
  <c r="T423" i="3" s="1"/>
  <c r="S425" i="3"/>
  <c r="T425" i="3" s="1"/>
  <c r="S429" i="3"/>
  <c r="T429" i="3" s="1"/>
  <c r="Z433" i="3"/>
  <c r="AA433" i="3" s="1"/>
  <c r="J197" i="3"/>
  <c r="J200" i="3"/>
  <c r="P304" i="3"/>
  <c r="P306" i="3"/>
  <c r="AF313" i="3"/>
  <c r="N321" i="3"/>
  <c r="N326" i="3"/>
  <c r="N324" i="3"/>
  <c r="J339" i="3"/>
  <c r="J345" i="3"/>
  <c r="G348" i="3"/>
  <c r="G349" i="3"/>
  <c r="G351" i="3"/>
  <c r="G353" i="3"/>
  <c r="T354" i="3"/>
  <c r="G367" i="3"/>
  <c r="G370" i="3"/>
  <c r="G340" i="3"/>
  <c r="X373" i="3"/>
  <c r="Y373" i="3" s="1"/>
  <c r="J380" i="3"/>
  <c r="N393" i="3"/>
  <c r="G398" i="3"/>
  <c r="N401" i="3"/>
  <c r="Z403" i="3"/>
  <c r="AF403" i="3" s="1"/>
  <c r="AA406" i="3"/>
  <c r="AE406" i="3" s="1"/>
  <c r="Z409" i="3"/>
  <c r="Z423" i="3"/>
  <c r="Z432" i="3"/>
  <c r="AF432" i="3" s="1"/>
  <c r="AA438" i="3"/>
  <c r="AE438" i="3" s="1"/>
  <c r="G227" i="3"/>
  <c r="N219" i="3"/>
  <c r="Y256" i="3"/>
  <c r="G274" i="3"/>
  <c r="G279" i="3" s="1"/>
  <c r="W293" i="3"/>
  <c r="G320" i="3"/>
  <c r="S321" i="3"/>
  <c r="T321" i="3" s="1"/>
  <c r="S326" i="3"/>
  <c r="T326" i="3" s="1"/>
  <c r="G330" i="3"/>
  <c r="S324" i="3"/>
  <c r="T324" i="3" s="1"/>
  <c r="J337" i="3"/>
  <c r="J338" i="3"/>
  <c r="S339" i="3"/>
  <c r="T339" i="3" s="1"/>
  <c r="X348" i="3"/>
  <c r="Y348" i="3" s="1"/>
  <c r="X349" i="3"/>
  <c r="Y349" i="3" s="1"/>
  <c r="X351" i="3"/>
  <c r="Y351" i="3" s="1"/>
  <c r="X353" i="3"/>
  <c r="Y353" i="3" s="1"/>
  <c r="W365" i="3"/>
  <c r="G335" i="3"/>
  <c r="N367" i="3"/>
  <c r="P367" i="3" s="1"/>
  <c r="N370" i="3"/>
  <c r="N340" i="3"/>
  <c r="O340" i="3" s="1"/>
  <c r="Z373" i="3"/>
  <c r="AF373" i="3" s="1"/>
  <c r="N380" i="3"/>
  <c r="P380" i="3" s="1"/>
  <c r="S382" i="3"/>
  <c r="T382" i="3" s="1"/>
  <c r="S398" i="3"/>
  <c r="Z408" i="3"/>
  <c r="AA408" i="3" s="1"/>
  <c r="P29" i="3"/>
  <c r="W15" i="3"/>
  <c r="O15" i="3"/>
  <c r="P58" i="3"/>
  <c r="O13" i="3"/>
  <c r="W13" i="3"/>
  <c r="W19" i="3"/>
  <c r="P19" i="3"/>
  <c r="V65" i="3"/>
  <c r="P74" i="3"/>
  <c r="T66" i="3"/>
  <c r="O11" i="3"/>
  <c r="W11" i="3"/>
  <c r="W9" i="3"/>
  <c r="P9" i="3"/>
  <c r="P51" i="3"/>
  <c r="T57" i="3"/>
  <c r="P71" i="3"/>
  <c r="P40" i="3"/>
  <c r="P48" i="3"/>
  <c r="V73" i="3"/>
  <c r="O34" i="3"/>
  <c r="T50" i="3"/>
  <c r="O63" i="3"/>
  <c r="P10" i="3"/>
  <c r="O18" i="3"/>
  <c r="Y21" i="3"/>
  <c r="Y23" i="3" s="1"/>
  <c r="W22" i="3"/>
  <c r="S23" i="3"/>
  <c r="N27" i="3"/>
  <c r="Y28" i="3"/>
  <c r="Y32" i="3"/>
  <c r="W33" i="3"/>
  <c r="T36" i="3"/>
  <c r="T38" i="3" s="1"/>
  <c r="P39" i="3"/>
  <c r="S40" i="3"/>
  <c r="S43" i="3" s="1"/>
  <c r="J41" i="3"/>
  <c r="Y47" i="3"/>
  <c r="N49" i="3"/>
  <c r="X50" i="3"/>
  <c r="Y50" i="3" s="1"/>
  <c r="S51" i="3"/>
  <c r="T51" i="3" s="1"/>
  <c r="J52" i="3"/>
  <c r="X57" i="3"/>
  <c r="Y57" i="3" s="1"/>
  <c r="S58" i="3"/>
  <c r="T58" i="3" s="1"/>
  <c r="J59" i="3"/>
  <c r="G62" i="3"/>
  <c r="X65" i="3"/>
  <c r="Y65" i="3" s="1"/>
  <c r="U66" i="3"/>
  <c r="V66" i="3" s="1"/>
  <c r="J67" i="3"/>
  <c r="G70" i="3"/>
  <c r="N72" i="3"/>
  <c r="X73" i="3"/>
  <c r="Y73" i="3" s="1"/>
  <c r="S74" i="3"/>
  <c r="T74" i="3" s="1"/>
  <c r="J75" i="3"/>
  <c r="O78" i="3"/>
  <c r="O86" i="3"/>
  <c r="G96" i="3"/>
  <c r="Y90" i="3"/>
  <c r="Y96" i="3" s="1"/>
  <c r="W91" i="3"/>
  <c r="N104" i="3"/>
  <c r="W102" i="3"/>
  <c r="J114" i="3"/>
  <c r="G114" i="3"/>
  <c r="S114" i="3"/>
  <c r="T114" i="3" s="1"/>
  <c r="O128" i="3"/>
  <c r="W133" i="3"/>
  <c r="P6" i="3"/>
  <c r="N7" i="3"/>
  <c r="N20" i="3" s="1"/>
  <c r="P8" i="3"/>
  <c r="P16" i="3"/>
  <c r="P24" i="3"/>
  <c r="P26" i="3" s="1"/>
  <c r="X29" i="3"/>
  <c r="Y29" i="3" s="1"/>
  <c r="O31" i="3"/>
  <c r="P37" i="3"/>
  <c r="X48" i="3"/>
  <c r="Y48" i="3" s="1"/>
  <c r="G53" i="3"/>
  <c r="G60" i="3"/>
  <c r="N62" i="3"/>
  <c r="X63" i="3"/>
  <c r="Y63" i="3" s="1"/>
  <c r="G68" i="3"/>
  <c r="S70" i="3"/>
  <c r="X71" i="3"/>
  <c r="Y71" i="3" s="1"/>
  <c r="O87" i="3"/>
  <c r="F89" i="3"/>
  <c r="N96" i="3"/>
  <c r="W97" i="3"/>
  <c r="P114" i="3"/>
  <c r="S207" i="3"/>
  <c r="T207" i="3" s="1"/>
  <c r="N207" i="3"/>
  <c r="J207" i="3"/>
  <c r="G207" i="3"/>
  <c r="X207" i="3"/>
  <c r="Y207" i="3" s="1"/>
  <c r="O227" i="3"/>
  <c r="N23" i="3"/>
  <c r="F35" i="3"/>
  <c r="N35" i="3"/>
  <c r="X40" i="3"/>
  <c r="X43" i="3" s="1"/>
  <c r="X51" i="3"/>
  <c r="Y51" i="3" s="1"/>
  <c r="J53" i="3"/>
  <c r="X58" i="3"/>
  <c r="Y58" i="3" s="1"/>
  <c r="J60" i="3"/>
  <c r="X66" i="3"/>
  <c r="Y66" i="3" s="1"/>
  <c r="J68" i="3"/>
  <c r="X74" i="3"/>
  <c r="Y74" i="3" s="1"/>
  <c r="X104" i="3"/>
  <c r="Y102" i="3"/>
  <c r="Y104" i="3" s="1"/>
  <c r="X34" i="3"/>
  <c r="Y34" i="3" s="1"/>
  <c r="N53" i="3"/>
  <c r="N60" i="3"/>
  <c r="X61" i="3"/>
  <c r="Y61" i="3" s="1"/>
  <c r="S62" i="3"/>
  <c r="T62" i="3" s="1"/>
  <c r="N68" i="3"/>
  <c r="X69" i="3"/>
  <c r="Y69" i="3" s="1"/>
  <c r="U70" i="3"/>
  <c r="V70" i="3" s="1"/>
  <c r="S123" i="3"/>
  <c r="T123" i="3" s="1"/>
  <c r="N123" i="3"/>
  <c r="J123" i="3"/>
  <c r="G123" i="3"/>
  <c r="Y161" i="3"/>
  <c r="G228" i="3"/>
  <c r="X228" i="3"/>
  <c r="Y228" i="3" s="1"/>
  <c r="S228" i="3"/>
  <c r="T228" i="3" s="1"/>
  <c r="N228" i="3"/>
  <c r="J228" i="3"/>
  <c r="N26" i="3"/>
  <c r="T28" i="3"/>
  <c r="G34" i="3"/>
  <c r="G35" i="3" s="1"/>
  <c r="J40" i="3"/>
  <c r="J51" i="3"/>
  <c r="J58" i="3"/>
  <c r="G61" i="3"/>
  <c r="J66" i="3"/>
  <c r="G69" i="3"/>
  <c r="J74" i="3"/>
  <c r="P95" i="3"/>
  <c r="P96" i="3" s="1"/>
  <c r="X123" i="3"/>
  <c r="Y123" i="3" s="1"/>
  <c r="W143" i="3"/>
  <c r="P143" i="3"/>
  <c r="S163" i="3"/>
  <c r="T163" i="3" s="1"/>
  <c r="N163" i="3"/>
  <c r="J163" i="3"/>
  <c r="G163" i="3"/>
  <c r="X53" i="3"/>
  <c r="Y53" i="3" s="1"/>
  <c r="X60" i="3"/>
  <c r="Y60" i="3" s="1"/>
  <c r="X68" i="3"/>
  <c r="Y68" i="3" s="1"/>
  <c r="N166" i="3"/>
  <c r="G166" i="3"/>
  <c r="X166" i="3"/>
  <c r="Y166" i="3" s="1"/>
  <c r="S166" i="3"/>
  <c r="T166" i="3" s="1"/>
  <c r="J166" i="3"/>
  <c r="W6" i="3"/>
  <c r="O14" i="3"/>
  <c r="J34" i="3"/>
  <c r="J35" i="3" s="1"/>
  <c r="Z34" i="3"/>
  <c r="P36" i="3"/>
  <c r="W90" i="3"/>
  <c r="G104" i="3"/>
  <c r="N106" i="3"/>
  <c r="J106" i="3"/>
  <c r="J107" i="3" s="1"/>
  <c r="O119" i="3"/>
  <c r="W221" i="3"/>
  <c r="P221" i="3"/>
  <c r="W118" i="3"/>
  <c r="O118" i="3"/>
  <c r="N100" i="3"/>
  <c r="N101" i="3" s="1"/>
  <c r="X113" i="3"/>
  <c r="N124" i="3"/>
  <c r="X125" i="3"/>
  <c r="Y125" i="3" s="1"/>
  <c r="S126" i="3"/>
  <c r="T126" i="3" s="1"/>
  <c r="J127" i="3"/>
  <c r="N138" i="3"/>
  <c r="X138" i="3"/>
  <c r="S139" i="3"/>
  <c r="J140" i="3"/>
  <c r="X153" i="3"/>
  <c r="S154" i="3"/>
  <c r="T154" i="3" s="1"/>
  <c r="J156" i="3"/>
  <c r="W169" i="3"/>
  <c r="T183" i="3"/>
  <c r="O192" i="3"/>
  <c r="W214" i="3"/>
  <c r="O214" i="3"/>
  <c r="O97" i="3"/>
  <c r="O101" i="3" s="1"/>
  <c r="G98" i="3"/>
  <c r="T102" i="3"/>
  <c r="T104" i="3" s="1"/>
  <c r="O103" i="3"/>
  <c r="O104" i="3" s="1"/>
  <c r="AA105" i="3"/>
  <c r="P112" i="3"/>
  <c r="G113" i="3"/>
  <c r="P115" i="3"/>
  <c r="X121" i="3"/>
  <c r="S122" i="3"/>
  <c r="T122" i="3" s="1"/>
  <c r="G125" i="3"/>
  <c r="N127" i="3"/>
  <c r="X128" i="3"/>
  <c r="Y128" i="3" s="1"/>
  <c r="S129" i="3"/>
  <c r="T129" i="3" s="1"/>
  <c r="S140" i="3"/>
  <c r="X145" i="3"/>
  <c r="Y145" i="3" s="1"/>
  <c r="Y149" i="3" s="1"/>
  <c r="P147" i="3"/>
  <c r="W108" i="3"/>
  <c r="T109" i="3"/>
  <c r="O152" i="3"/>
  <c r="G153" i="3"/>
  <c r="N156" i="3"/>
  <c r="S162" i="3"/>
  <c r="T162" i="3" s="1"/>
  <c r="S165" i="3"/>
  <c r="T165" i="3" s="1"/>
  <c r="W175" i="3"/>
  <c r="X183" i="3"/>
  <c r="Y181" i="3"/>
  <c r="Y183" i="3" s="1"/>
  <c r="W184" i="3"/>
  <c r="P184" i="3"/>
  <c r="X99" i="3"/>
  <c r="Y99" i="3" s="1"/>
  <c r="X119" i="3"/>
  <c r="Y119" i="3" s="1"/>
  <c r="N168" i="3"/>
  <c r="G168" i="3"/>
  <c r="W202" i="3"/>
  <c r="P202" i="3"/>
  <c r="Y206" i="3"/>
  <c r="X126" i="3"/>
  <c r="Y126" i="3" s="1"/>
  <c r="S127" i="3"/>
  <c r="T127" i="3" s="1"/>
  <c r="X139" i="3"/>
  <c r="U140" i="3"/>
  <c r="F142" i="3"/>
  <c r="X154" i="3"/>
  <c r="Y154" i="3" s="1"/>
  <c r="W189" i="3"/>
  <c r="T189" i="3"/>
  <c r="Y212" i="3"/>
  <c r="J99" i="3"/>
  <c r="N121" i="3"/>
  <c r="X122" i="3"/>
  <c r="Y122" i="3" s="1"/>
  <c r="J119" i="3"/>
  <c r="G126" i="3"/>
  <c r="X129" i="3"/>
  <c r="Y129" i="3" s="1"/>
  <c r="G139" i="3"/>
  <c r="G154" i="3"/>
  <c r="X162" i="3"/>
  <c r="Y162" i="3" s="1"/>
  <c r="X165" i="3"/>
  <c r="Y165" i="3" s="1"/>
  <c r="S183" i="3"/>
  <c r="O213" i="3"/>
  <c r="U224" i="3"/>
  <c r="U237" i="3" s="1"/>
  <c r="S224" i="3"/>
  <c r="J224" i="3"/>
  <c r="G224" i="3"/>
  <c r="X224" i="3"/>
  <c r="Y224" i="3" s="1"/>
  <c r="J126" i="3"/>
  <c r="J154" i="3"/>
  <c r="S168" i="3"/>
  <c r="T168" i="3" s="1"/>
  <c r="P182" i="3"/>
  <c r="P183" i="3" s="1"/>
  <c r="AF190" i="3"/>
  <c r="Z190" i="3"/>
  <c r="AC190" i="3"/>
  <c r="W201" i="3"/>
  <c r="U257" i="3"/>
  <c r="U261" i="3" s="1"/>
  <c r="S257" i="3"/>
  <c r="S261" i="3" s="1"/>
  <c r="J257" i="3"/>
  <c r="J261" i="3" s="1"/>
  <c r="G257" i="3"/>
  <c r="G261" i="3" s="1"/>
  <c r="X257" i="3"/>
  <c r="Y257" i="3" s="1"/>
  <c r="W185" i="3"/>
  <c r="P185" i="3"/>
  <c r="O225" i="3"/>
  <c r="U286" i="3"/>
  <c r="S286" i="3"/>
  <c r="J286" i="3"/>
  <c r="G286" i="3"/>
  <c r="X286" i="3"/>
  <c r="Y286" i="3" s="1"/>
  <c r="N171" i="3"/>
  <c r="X172" i="3"/>
  <c r="Y172" i="3" s="1"/>
  <c r="S173" i="3"/>
  <c r="T173" i="3" s="1"/>
  <c r="N177" i="3"/>
  <c r="X178" i="3"/>
  <c r="Y178" i="3" s="1"/>
  <c r="N188" i="3"/>
  <c r="S192" i="3"/>
  <c r="Z193" i="3"/>
  <c r="Z204" i="3" s="1"/>
  <c r="P198" i="3"/>
  <c r="G200" i="3"/>
  <c r="P201" i="3"/>
  <c r="J206" i="3"/>
  <c r="J209" i="3"/>
  <c r="F210" i="3"/>
  <c r="S227" i="3"/>
  <c r="T227" i="3" s="1"/>
  <c r="N217" i="3"/>
  <c r="O220" i="3"/>
  <c r="S225" i="3"/>
  <c r="T225" i="3" s="1"/>
  <c r="X229" i="3"/>
  <c r="Y229" i="3" s="1"/>
  <c r="S229" i="3"/>
  <c r="T229" i="3" s="1"/>
  <c r="N229" i="3"/>
  <c r="W241" i="3"/>
  <c r="P241" i="3"/>
  <c r="P243" i="3" s="1"/>
  <c r="W256" i="3"/>
  <c r="X167" i="3"/>
  <c r="Y167" i="3" s="1"/>
  <c r="X170" i="3"/>
  <c r="Y170" i="3" s="1"/>
  <c r="S171" i="3"/>
  <c r="T171" i="3" s="1"/>
  <c r="J172" i="3"/>
  <c r="S177" i="3"/>
  <c r="T177" i="3" s="1"/>
  <c r="J178" i="3"/>
  <c r="S188" i="3"/>
  <c r="S190" i="3" s="1"/>
  <c r="X196" i="3"/>
  <c r="Y196" i="3" s="1"/>
  <c r="X197" i="3"/>
  <c r="Y197" i="3" s="1"/>
  <c r="N200" i="3"/>
  <c r="X199" i="3"/>
  <c r="Y199" i="3" s="1"/>
  <c r="F204" i="3"/>
  <c r="S217" i="3"/>
  <c r="T217" i="3" s="1"/>
  <c r="J229" i="3"/>
  <c r="W247" i="3"/>
  <c r="W262" i="3"/>
  <c r="O262" i="3"/>
  <c r="S267" i="3"/>
  <c r="T265" i="3"/>
  <c r="T267" i="3" s="1"/>
  <c r="N267" i="3"/>
  <c r="X272" i="3"/>
  <c r="Y270" i="3"/>
  <c r="Y272" i="3" s="1"/>
  <c r="Y293" i="3"/>
  <c r="X173" i="3"/>
  <c r="Y173" i="3" s="1"/>
  <c r="X192" i="3"/>
  <c r="X227" i="3"/>
  <c r="Y227" i="3" s="1"/>
  <c r="X225" i="3"/>
  <c r="Y225" i="3" s="1"/>
  <c r="P233" i="3"/>
  <c r="G239" i="3"/>
  <c r="G240" i="3" s="1"/>
  <c r="S239" i="3"/>
  <c r="S240" i="3" s="1"/>
  <c r="Y241" i="3"/>
  <c r="Y243" i="3" s="1"/>
  <c r="S245" i="3"/>
  <c r="T245" i="3" s="1"/>
  <c r="N245" i="3"/>
  <c r="J245" i="3"/>
  <c r="P254" i="3"/>
  <c r="S200" i="3"/>
  <c r="T200" i="3" s="1"/>
  <c r="X213" i="3"/>
  <c r="Y213" i="3" s="1"/>
  <c r="W250" i="3"/>
  <c r="P250" i="3"/>
  <c r="S290" i="3"/>
  <c r="T290" i="3" s="1"/>
  <c r="N290" i="3"/>
  <c r="J290" i="3"/>
  <c r="G290" i="3"/>
  <c r="X171" i="3"/>
  <c r="Y171" i="3" s="1"/>
  <c r="J173" i="3"/>
  <c r="X177" i="3"/>
  <c r="Y177" i="3" s="1"/>
  <c r="X188" i="3"/>
  <c r="J192" i="3"/>
  <c r="O212" i="3"/>
  <c r="G213" i="3"/>
  <c r="J227" i="3"/>
  <c r="F215" i="3"/>
  <c r="X217" i="3"/>
  <c r="Y217" i="3" s="1"/>
  <c r="J225" i="3"/>
  <c r="F237" i="3"/>
  <c r="N239" i="3"/>
  <c r="N240" i="3" s="1"/>
  <c r="W244" i="3"/>
  <c r="Y267" i="3"/>
  <c r="N283" i="3"/>
  <c r="J283" i="3"/>
  <c r="F291" i="3"/>
  <c r="G283" i="3"/>
  <c r="X290" i="3"/>
  <c r="Y290" i="3" s="1"/>
  <c r="J213" i="3"/>
  <c r="P216" i="3"/>
  <c r="P238" i="3"/>
  <c r="P240" i="3" s="1"/>
  <c r="W238" i="3"/>
  <c r="X239" i="3"/>
  <c r="Y239" i="3" s="1"/>
  <c r="Y240" i="3" s="1"/>
  <c r="P244" i="3"/>
  <c r="X245" i="3"/>
  <c r="Y245" i="3" s="1"/>
  <c r="Y249" i="3" s="1"/>
  <c r="W266" i="3"/>
  <c r="P266" i="3"/>
  <c r="R289" i="3"/>
  <c r="R291" i="3" s="1"/>
  <c r="R303" i="3" s="1"/>
  <c r="Q291" i="3"/>
  <c r="Q303" i="3" s="1"/>
  <c r="Y250" i="3"/>
  <c r="Y255" i="3" s="1"/>
  <c r="X255" i="3"/>
  <c r="Y283" i="3"/>
  <c r="P309" i="3"/>
  <c r="X230" i="3"/>
  <c r="Y230" i="3" s="1"/>
  <c r="S232" i="3"/>
  <c r="T232" i="3" s="1"/>
  <c r="N248" i="3"/>
  <c r="W271" i="3"/>
  <c r="W284" i="3"/>
  <c r="W287" i="3"/>
  <c r="W294" i="3"/>
  <c r="J296" i="3"/>
  <c r="X297" i="3"/>
  <c r="Y297" i="3" s="1"/>
  <c r="G312" i="3"/>
  <c r="S312" i="3"/>
  <c r="T312" i="3" s="1"/>
  <c r="N312" i="3"/>
  <c r="AF342" i="3"/>
  <c r="AA342" i="3"/>
  <c r="AE342" i="3" s="1"/>
  <c r="P327" i="3"/>
  <c r="G230" i="3"/>
  <c r="T256" i="3"/>
  <c r="X267" i="3"/>
  <c r="T268" i="3"/>
  <c r="X280" i="3"/>
  <c r="S285" i="3"/>
  <c r="T285" i="3" s="1"/>
  <c r="S288" i="3"/>
  <c r="T288" i="3" s="1"/>
  <c r="N296" i="3"/>
  <c r="N302" i="3" s="1"/>
  <c r="T308" i="3"/>
  <c r="S332" i="3"/>
  <c r="T332" i="3" s="1"/>
  <c r="N332" i="3"/>
  <c r="J332" i="3"/>
  <c r="Z332" i="3"/>
  <c r="G332" i="3"/>
  <c r="AF344" i="3"/>
  <c r="AA344" i="3"/>
  <c r="S248" i="3"/>
  <c r="T248" i="3" s="1"/>
  <c r="W268" i="3"/>
  <c r="X289" i="3"/>
  <c r="Y289" i="3" s="1"/>
  <c r="G297" i="3"/>
  <c r="W308" i="3"/>
  <c r="AC344" i="3"/>
  <c r="AF368" i="3"/>
  <c r="AA368" i="3"/>
  <c r="AC368" i="3"/>
  <c r="AF371" i="3"/>
  <c r="AA371" i="3"/>
  <c r="AC371" i="3"/>
  <c r="X274" i="3"/>
  <c r="J280" i="3"/>
  <c r="J281" i="3" s="1"/>
  <c r="G289" i="3"/>
  <c r="S296" i="3"/>
  <c r="J297" i="3"/>
  <c r="G298" i="3"/>
  <c r="S298" i="3"/>
  <c r="AC319" i="3"/>
  <c r="AE319" i="3" s="1"/>
  <c r="AF319" i="3"/>
  <c r="AC320" i="3"/>
  <c r="AE320" i="3" s="1"/>
  <c r="AF320" i="3"/>
  <c r="AC321" i="3"/>
  <c r="AE321" i="3" s="1"/>
  <c r="AF321" i="3"/>
  <c r="AC323" i="3"/>
  <c r="AE323" i="3" s="1"/>
  <c r="AF323" i="3"/>
  <c r="AC326" i="3"/>
  <c r="AE326" i="3" s="1"/>
  <c r="AF326" i="3"/>
  <c r="AC329" i="3"/>
  <c r="AE329" i="3" s="1"/>
  <c r="AF329" i="3"/>
  <c r="AC330" i="3"/>
  <c r="AE330" i="3" s="1"/>
  <c r="AF330" i="3"/>
  <c r="AC324" i="3"/>
  <c r="AE324" i="3" s="1"/>
  <c r="AF324" i="3"/>
  <c r="S325" i="3"/>
  <c r="T325" i="3" s="1"/>
  <c r="N325" i="3"/>
  <c r="Z325" i="3"/>
  <c r="J325" i="3"/>
  <c r="G325" i="3"/>
  <c r="X285" i="3"/>
  <c r="Y285" i="3" s="1"/>
  <c r="X288" i="3"/>
  <c r="Y288" i="3" s="1"/>
  <c r="Y311" i="3"/>
  <c r="G394" i="3"/>
  <c r="S394" i="3"/>
  <c r="T394" i="3" s="1"/>
  <c r="J394" i="3"/>
  <c r="Z394" i="3"/>
  <c r="X394" i="3"/>
  <c r="Y394" i="3" s="1"/>
  <c r="N394" i="3"/>
  <c r="T270" i="3"/>
  <c r="T276" i="3"/>
  <c r="T283" i="3"/>
  <c r="F302" i="3"/>
  <c r="AA311" i="3"/>
  <c r="Z312" i="3"/>
  <c r="AC315" i="3"/>
  <c r="AE315" i="3" s="1"/>
  <c r="S378" i="3"/>
  <c r="T378" i="3" s="1"/>
  <c r="N378" i="3"/>
  <c r="Z378" i="3"/>
  <c r="J378" i="3"/>
  <c r="G378" i="3"/>
  <c r="AF367" i="3"/>
  <c r="AA367" i="3"/>
  <c r="AC367" i="3"/>
  <c r="AF370" i="3"/>
  <c r="AA370" i="3"/>
  <c r="AC370" i="3"/>
  <c r="AF340" i="3"/>
  <c r="AA340" i="3"/>
  <c r="AC340" i="3"/>
  <c r="W304" i="3"/>
  <c r="Z334" i="3"/>
  <c r="N336" i="3"/>
  <c r="S337" i="3"/>
  <c r="Z338" i="3"/>
  <c r="N339" i="3"/>
  <c r="S342" i="3"/>
  <c r="G342" i="3"/>
  <c r="S344" i="3"/>
  <c r="G344" i="3"/>
  <c r="G327" i="3"/>
  <c r="J327" i="3"/>
  <c r="Z327" i="3"/>
  <c r="X327" i="3"/>
  <c r="Y327" i="3" s="1"/>
  <c r="S327" i="3"/>
  <c r="T327" i="3" s="1"/>
  <c r="H440" i="3"/>
  <c r="H441" i="3" s="1"/>
  <c r="X318" i="3"/>
  <c r="Y318" i="3" s="1"/>
  <c r="X319" i="3"/>
  <c r="Y319" i="3" s="1"/>
  <c r="X320" i="3"/>
  <c r="Y320" i="3" s="1"/>
  <c r="X321" i="3"/>
  <c r="Y321" i="3" s="1"/>
  <c r="X322" i="3"/>
  <c r="Y322" i="3" s="1"/>
  <c r="X323" i="3"/>
  <c r="Y323" i="3" s="1"/>
  <c r="X326" i="3"/>
  <c r="Y326" i="3" s="1"/>
  <c r="X369" i="3"/>
  <c r="Y369" i="3" s="1"/>
  <c r="X329" i="3"/>
  <c r="Y329" i="3" s="1"/>
  <c r="X330" i="3"/>
  <c r="Y330" i="3" s="1"/>
  <c r="X324" i="3"/>
  <c r="Y324" i="3" s="1"/>
  <c r="Z395" i="3"/>
  <c r="G381" i="3"/>
  <c r="J381" i="3"/>
  <c r="Z381" i="3"/>
  <c r="X381" i="3"/>
  <c r="Y381" i="3" s="1"/>
  <c r="S381" i="3"/>
  <c r="T381" i="3" s="1"/>
  <c r="S426" i="3"/>
  <c r="T426" i="3" s="1"/>
  <c r="N426" i="3"/>
  <c r="F439" i="3"/>
  <c r="X426" i="3"/>
  <c r="Y426" i="3" s="1"/>
  <c r="J426" i="3"/>
  <c r="G426" i="3"/>
  <c r="Q440" i="3"/>
  <c r="J318" i="3"/>
  <c r="J319" i="3"/>
  <c r="J320" i="3"/>
  <c r="J321" i="3"/>
  <c r="J322" i="3"/>
  <c r="J323" i="3"/>
  <c r="J326" i="3"/>
  <c r="J369" i="3"/>
  <c r="J329" i="3"/>
  <c r="J330" i="3"/>
  <c r="J324" i="3"/>
  <c r="Z337" i="3"/>
  <c r="N395" i="3"/>
  <c r="S341" i="3"/>
  <c r="G341" i="3"/>
  <c r="S343" i="3"/>
  <c r="G343" i="3"/>
  <c r="S345" i="3"/>
  <c r="G345" i="3"/>
  <c r="AC365" i="3"/>
  <c r="G374" i="3"/>
  <c r="J374" i="3"/>
  <c r="Z374" i="3"/>
  <c r="X374" i="3"/>
  <c r="Y374" i="3" s="1"/>
  <c r="S374" i="3"/>
  <c r="T374" i="3" s="1"/>
  <c r="G346" i="3"/>
  <c r="X346" i="3"/>
  <c r="Y346" i="3" s="1"/>
  <c r="S346" i="3"/>
  <c r="T346" i="3" s="1"/>
  <c r="N346" i="3"/>
  <c r="N381" i="3"/>
  <c r="R440" i="3"/>
  <c r="Z336" i="3"/>
  <c r="S395" i="3"/>
  <c r="T395" i="3" s="1"/>
  <c r="Z339" i="3"/>
  <c r="N347" i="3"/>
  <c r="Z347" i="3"/>
  <c r="J347" i="3"/>
  <c r="N348" i="3"/>
  <c r="Z348" i="3"/>
  <c r="J348" i="3"/>
  <c r="N349" i="3"/>
  <c r="Z349" i="3"/>
  <c r="J349" i="3"/>
  <c r="N350" i="3"/>
  <c r="Z350" i="3"/>
  <c r="J350" i="3"/>
  <c r="N351" i="3"/>
  <c r="Z351" i="3"/>
  <c r="J351" i="3"/>
  <c r="N352" i="3"/>
  <c r="Z352" i="3"/>
  <c r="J352" i="3"/>
  <c r="N353" i="3"/>
  <c r="Z353" i="3"/>
  <c r="J353" i="3"/>
  <c r="AC354" i="3"/>
  <c r="AA354" i="3"/>
  <c r="P365" i="3"/>
  <c r="P374" i="3"/>
  <c r="G376" i="3"/>
  <c r="J376" i="3"/>
  <c r="Z376" i="3"/>
  <c r="X376" i="3"/>
  <c r="Y376" i="3" s="1"/>
  <c r="S376" i="3"/>
  <c r="T376" i="3" s="1"/>
  <c r="AF384" i="3"/>
  <c r="AC384" i="3"/>
  <c r="AA384" i="3"/>
  <c r="X392" i="3"/>
  <c r="Y392" i="3" s="1"/>
  <c r="S392" i="3"/>
  <c r="J392" i="3"/>
  <c r="G392" i="3"/>
  <c r="Z392" i="3"/>
  <c r="U392" i="3"/>
  <c r="G328" i="3"/>
  <c r="X328" i="3"/>
  <c r="Y328" i="3" s="1"/>
  <c r="S328" i="3"/>
  <c r="T328" i="3" s="1"/>
  <c r="N328" i="3"/>
  <c r="G388" i="3"/>
  <c r="S388" i="3"/>
  <c r="T388" i="3" s="1"/>
  <c r="Z388" i="3"/>
  <c r="X388" i="3"/>
  <c r="Y388" i="3" s="1"/>
  <c r="N388" i="3"/>
  <c r="X399" i="3"/>
  <c r="Y399" i="3" s="1"/>
  <c r="S399" i="3"/>
  <c r="J399" i="3"/>
  <c r="G399" i="3"/>
  <c r="Z399" i="3"/>
  <c r="U399" i="3"/>
  <c r="V399" i="3" s="1"/>
  <c r="T406" i="3"/>
  <c r="K440" i="3"/>
  <c r="G384" i="3"/>
  <c r="S384" i="3"/>
  <c r="T384" i="3" s="1"/>
  <c r="N417" i="3"/>
  <c r="Z417" i="3"/>
  <c r="J417" i="3"/>
  <c r="G417" i="3"/>
  <c r="X417" i="3"/>
  <c r="Y417" i="3" s="1"/>
  <c r="S417" i="3"/>
  <c r="T417" i="3" s="1"/>
  <c r="L440" i="3"/>
  <c r="J373" i="3"/>
  <c r="J375" i="3"/>
  <c r="J377" i="3"/>
  <c r="J379" i="3"/>
  <c r="J382" i="3"/>
  <c r="J384" i="3"/>
  <c r="X372" i="3"/>
  <c r="Y372" i="3" s="1"/>
  <c r="N373" i="3"/>
  <c r="N375" i="3"/>
  <c r="N377" i="3"/>
  <c r="N379" i="3"/>
  <c r="N382" i="3"/>
  <c r="G383" i="3"/>
  <c r="S383" i="3"/>
  <c r="T383" i="3" s="1"/>
  <c r="N384" i="3"/>
  <c r="Z389" i="3"/>
  <c r="G389" i="3"/>
  <c r="X389" i="3"/>
  <c r="Y389" i="3" s="1"/>
  <c r="S389" i="3"/>
  <c r="T389" i="3" s="1"/>
  <c r="O391" i="3"/>
  <c r="S435" i="3"/>
  <c r="T435" i="3" s="1"/>
  <c r="Z435" i="3"/>
  <c r="X435" i="3"/>
  <c r="Y435" i="3" s="1"/>
  <c r="N435" i="3"/>
  <c r="J435" i="3"/>
  <c r="G435" i="3"/>
  <c r="X335" i="3"/>
  <c r="Y335" i="3" s="1"/>
  <c r="X367" i="3"/>
  <c r="Y367" i="3" s="1"/>
  <c r="X368" i="3"/>
  <c r="Y368" i="3" s="1"/>
  <c r="X370" i="3"/>
  <c r="Y370" i="3" s="1"/>
  <c r="X371" i="3"/>
  <c r="Y371" i="3" s="1"/>
  <c r="X340" i="3"/>
  <c r="Y340" i="3" s="1"/>
  <c r="Z372" i="3"/>
  <c r="X384" i="3"/>
  <c r="Y384" i="3" s="1"/>
  <c r="X397" i="3"/>
  <c r="Y397" i="3" s="1"/>
  <c r="N397" i="3"/>
  <c r="J397" i="3"/>
  <c r="G397" i="3"/>
  <c r="W414" i="3"/>
  <c r="O414" i="3"/>
  <c r="J335" i="3"/>
  <c r="J367" i="3"/>
  <c r="J368" i="3"/>
  <c r="J370" i="3"/>
  <c r="J371" i="3"/>
  <c r="J340" i="3"/>
  <c r="N372" i="3"/>
  <c r="X379" i="3"/>
  <c r="Y379" i="3" s="1"/>
  <c r="X382" i="3"/>
  <c r="Y382" i="3" s="1"/>
  <c r="X383" i="3"/>
  <c r="Y383" i="3" s="1"/>
  <c r="AC424" i="3"/>
  <c r="AF437" i="3"/>
  <c r="P421" i="3"/>
  <c r="P431" i="3"/>
  <c r="AA436" i="3"/>
  <c r="X434" i="3"/>
  <c r="Y434" i="3" s="1"/>
  <c r="AC436" i="3"/>
  <c r="G391" i="3"/>
  <c r="Z391" i="3"/>
  <c r="Z393" i="3"/>
  <c r="Z398" i="3"/>
  <c r="Z401" i="3"/>
  <c r="N415" i="3"/>
  <c r="Z415" i="3"/>
  <c r="J415" i="3"/>
  <c r="G415" i="3"/>
  <c r="J432" i="3"/>
  <c r="W436" i="3"/>
  <c r="M440" i="3"/>
  <c r="S415" i="3"/>
  <c r="T415" i="3" s="1"/>
  <c r="N416" i="3"/>
  <c r="Z416" i="3"/>
  <c r="J416" i="3"/>
  <c r="G416" i="3"/>
  <c r="AA437" i="3"/>
  <c r="AE437" i="3" s="1"/>
  <c r="AB440" i="3"/>
  <c r="AB441" i="3" s="1"/>
  <c r="X408" i="3"/>
  <c r="Y408" i="3" s="1"/>
  <c r="X409" i="3"/>
  <c r="Y409" i="3" s="1"/>
  <c r="X411" i="3"/>
  <c r="Y411" i="3" s="1"/>
  <c r="X412" i="3"/>
  <c r="Y412" i="3" s="1"/>
  <c r="X427" i="3"/>
  <c r="Y427" i="3" s="1"/>
  <c r="X428" i="3"/>
  <c r="Y428" i="3" s="1"/>
  <c r="X429" i="3"/>
  <c r="Y429" i="3" s="1"/>
  <c r="S159" i="3" l="1"/>
  <c r="Z420" i="3"/>
  <c r="K441" i="3"/>
  <c r="L441" i="3"/>
  <c r="S30" i="3"/>
  <c r="T310" i="3"/>
  <c r="X420" i="3"/>
  <c r="S237" i="3"/>
  <c r="O215" i="3"/>
  <c r="N237" i="3"/>
  <c r="N136" i="3"/>
  <c r="P310" i="3"/>
  <c r="M441" i="3"/>
  <c r="N89" i="3"/>
  <c r="P302" i="3"/>
  <c r="Z211" i="3"/>
  <c r="N210" i="3"/>
  <c r="N420" i="3"/>
  <c r="F150" i="3"/>
  <c r="F282" i="3"/>
  <c r="J159" i="3"/>
  <c r="F303" i="3"/>
  <c r="F211" i="3"/>
  <c r="Q441" i="3"/>
  <c r="P255" i="3"/>
  <c r="N149" i="3"/>
  <c r="R441" i="3"/>
  <c r="N439" i="3"/>
  <c r="N180" i="3"/>
  <c r="W310" i="3"/>
  <c r="N204" i="3"/>
  <c r="J43" i="3"/>
  <c r="T116" i="3"/>
  <c r="P43" i="3"/>
  <c r="G159" i="3"/>
  <c r="G43" i="3"/>
  <c r="Y153" i="3"/>
  <c r="Y159" i="3" s="1"/>
  <c r="X159" i="3"/>
  <c r="T153" i="3"/>
  <c r="P153" i="3"/>
  <c r="P159" i="3" s="1"/>
  <c r="N159" i="3"/>
  <c r="A45" i="3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E110" i="3"/>
  <c r="AE111" i="3" s="1"/>
  <c r="W272" i="3"/>
  <c r="T96" i="3"/>
  <c r="W209" i="3"/>
  <c r="S302" i="3"/>
  <c r="S303" i="3" s="1"/>
  <c r="W217" i="3"/>
  <c r="O96" i="3"/>
  <c r="W207" i="3"/>
  <c r="W296" i="3"/>
  <c r="S204" i="3"/>
  <c r="W255" i="3"/>
  <c r="AA107" i="3"/>
  <c r="AE105" i="3"/>
  <c r="AE107" i="3" s="1"/>
  <c r="O412" i="3"/>
  <c r="W412" i="3"/>
  <c r="AE317" i="3"/>
  <c r="W215" i="3"/>
  <c r="S279" i="3"/>
  <c r="S149" i="3"/>
  <c r="W417" i="3"/>
  <c r="W328" i="3"/>
  <c r="W206" i="3"/>
  <c r="O389" i="3"/>
  <c r="W389" i="3"/>
  <c r="S215" i="3"/>
  <c r="AE426" i="3"/>
  <c r="S291" i="3"/>
  <c r="S136" i="3"/>
  <c r="W391" i="3"/>
  <c r="W334" i="3"/>
  <c r="S89" i="3"/>
  <c r="AC425" i="3"/>
  <c r="AA425" i="3"/>
  <c r="AF425" i="3"/>
  <c r="V140" i="3"/>
  <c r="V142" i="3" s="1"/>
  <c r="U142" i="3"/>
  <c r="T206" i="3"/>
  <c r="T210" i="3" s="1"/>
  <c r="S210" i="3"/>
  <c r="O139" i="3"/>
  <c r="O142" i="3" s="1"/>
  <c r="N142" i="3"/>
  <c r="S420" i="3"/>
  <c r="S116" i="3"/>
  <c r="W394" i="3"/>
  <c r="O297" i="3"/>
  <c r="W297" i="3"/>
  <c r="N107" i="3"/>
  <c r="W106" i="3"/>
  <c r="W107" i="3" s="1"/>
  <c r="AF397" i="3"/>
  <c r="AF328" i="3"/>
  <c r="W289" i="3"/>
  <c r="W243" i="3"/>
  <c r="O172" i="3"/>
  <c r="AE313" i="3"/>
  <c r="AF346" i="3"/>
  <c r="AE365" i="3"/>
  <c r="J249" i="3"/>
  <c r="AC434" i="3"/>
  <c r="X240" i="3"/>
  <c r="P261" i="3"/>
  <c r="T111" i="3"/>
  <c r="Y261" i="3"/>
  <c r="X261" i="3"/>
  <c r="T30" i="3"/>
  <c r="U215" i="3"/>
  <c r="U282" i="3" s="1"/>
  <c r="AA345" i="3"/>
  <c r="AE345" i="3" s="1"/>
  <c r="T149" i="3"/>
  <c r="J142" i="3"/>
  <c r="W111" i="3"/>
  <c r="J136" i="3"/>
  <c r="X107" i="3"/>
  <c r="G136" i="3"/>
  <c r="Y107" i="3"/>
  <c r="X136" i="3"/>
  <c r="T136" i="3"/>
  <c r="W23" i="3"/>
  <c r="W145" i="3"/>
  <c r="W149" i="3" s="1"/>
  <c r="AA380" i="3"/>
  <c r="AF111" i="3"/>
  <c r="AA111" i="3"/>
  <c r="AC380" i="3"/>
  <c r="O111" i="3"/>
  <c r="W380" i="3"/>
  <c r="AC322" i="3"/>
  <c r="AE322" i="3" s="1"/>
  <c r="AC403" i="3"/>
  <c r="O41" i="3"/>
  <c r="O43" i="3" s="1"/>
  <c r="AD403" i="3"/>
  <c r="W340" i="3"/>
  <c r="W29" i="3"/>
  <c r="AA422" i="3"/>
  <c r="AA397" i="3"/>
  <c r="AE397" i="3" s="1"/>
  <c r="AC422" i="3"/>
  <c r="AA346" i="3"/>
  <c r="AE346" i="3" s="1"/>
  <c r="AF322" i="3"/>
  <c r="AF318" i="3"/>
  <c r="W183" i="3"/>
  <c r="AC318" i="3"/>
  <c r="AE318" i="3" s="1"/>
  <c r="AF345" i="3"/>
  <c r="AC343" i="3"/>
  <c r="AA343" i="3"/>
  <c r="W119" i="3"/>
  <c r="T156" i="3"/>
  <c r="W170" i="3"/>
  <c r="W411" i="3"/>
  <c r="T213" i="3"/>
  <c r="W193" i="3"/>
  <c r="W50" i="3"/>
  <c r="O432" i="3"/>
  <c r="W197" i="3"/>
  <c r="AC328" i="3"/>
  <c r="AE328" i="3" s="1"/>
  <c r="W422" i="3"/>
  <c r="W38" i="3"/>
  <c r="T411" i="3"/>
  <c r="AA432" i="3"/>
  <c r="AC432" i="3"/>
  <c r="W402" i="3"/>
  <c r="Y302" i="3"/>
  <c r="W199" i="3"/>
  <c r="W99" i="3"/>
  <c r="G101" i="3"/>
  <c r="AE421" i="3"/>
  <c r="W73" i="3"/>
  <c r="O433" i="3"/>
  <c r="AC379" i="3"/>
  <c r="AE379" i="3" s="1"/>
  <c r="AC402" i="3"/>
  <c r="AE402" i="3" s="1"/>
  <c r="AF379" i="3"/>
  <c r="W67" i="3"/>
  <c r="W69" i="3"/>
  <c r="S35" i="3"/>
  <c r="W153" i="3"/>
  <c r="G210" i="3"/>
  <c r="W41" i="3"/>
  <c r="W34" i="3"/>
  <c r="W35" i="3" s="1"/>
  <c r="AF402" i="3"/>
  <c r="W65" i="3"/>
  <c r="W370" i="3"/>
  <c r="P267" i="3"/>
  <c r="W57" i="3"/>
  <c r="AA412" i="3"/>
  <c r="J210" i="3"/>
  <c r="AC412" i="3"/>
  <c r="AA434" i="3"/>
  <c r="J291" i="3"/>
  <c r="O35" i="3"/>
  <c r="J101" i="3"/>
  <c r="O434" i="3"/>
  <c r="W63" i="3"/>
  <c r="G142" i="3"/>
  <c r="W428" i="3"/>
  <c r="AC383" i="3"/>
  <c r="AE383" i="3" s="1"/>
  <c r="G116" i="3"/>
  <c r="AF383" i="3"/>
  <c r="AA373" i="3"/>
  <c r="AC373" i="3"/>
  <c r="W376" i="3"/>
  <c r="F440" i="3"/>
  <c r="Y210" i="3"/>
  <c r="G439" i="3"/>
  <c r="W104" i="3"/>
  <c r="W367" i="3"/>
  <c r="P370" i="3"/>
  <c r="P38" i="3"/>
  <c r="W128" i="3"/>
  <c r="W71" i="3"/>
  <c r="G249" i="3"/>
  <c r="AC375" i="3"/>
  <c r="AE375" i="3" s="1"/>
  <c r="T280" i="3"/>
  <c r="T281" i="3" s="1"/>
  <c r="T98" i="3"/>
  <c r="T101" i="3" s="1"/>
  <c r="W98" i="3"/>
  <c r="W280" i="3"/>
  <c r="W281" i="3" s="1"/>
  <c r="G302" i="3"/>
  <c r="N281" i="3"/>
  <c r="J116" i="3"/>
  <c r="W423" i="3"/>
  <c r="W161" i="3"/>
  <c r="AA428" i="3"/>
  <c r="AC428" i="3"/>
  <c r="AE367" i="3"/>
  <c r="W141" i="3"/>
  <c r="W427" i="3"/>
  <c r="J30" i="3"/>
  <c r="W59" i="3"/>
  <c r="AA377" i="3"/>
  <c r="AF375" i="3"/>
  <c r="J204" i="3"/>
  <c r="O267" i="3"/>
  <c r="O422" i="3"/>
  <c r="AC377" i="3"/>
  <c r="AE354" i="3"/>
  <c r="T279" i="3"/>
  <c r="AE371" i="3"/>
  <c r="J237" i="3"/>
  <c r="W371" i="3"/>
  <c r="W58" i="3"/>
  <c r="T161" i="3"/>
  <c r="T180" i="3" s="1"/>
  <c r="W274" i="3"/>
  <c r="W279" i="3" s="1"/>
  <c r="J180" i="3"/>
  <c r="J89" i="3"/>
  <c r="W26" i="3"/>
  <c r="AE436" i="3"/>
  <c r="W48" i="3"/>
  <c r="O423" i="3"/>
  <c r="AE340" i="3"/>
  <c r="G215" i="3"/>
  <c r="G204" i="3"/>
  <c r="W225" i="3"/>
  <c r="Y30" i="3"/>
  <c r="J302" i="3"/>
  <c r="S101" i="3"/>
  <c r="G237" i="3"/>
  <c r="AA409" i="3"/>
  <c r="AF409" i="3"/>
  <c r="AC409" i="3"/>
  <c r="W368" i="3"/>
  <c r="AF429" i="3"/>
  <c r="AA429" i="3"/>
  <c r="AC429" i="3"/>
  <c r="W323" i="3"/>
  <c r="J190" i="3"/>
  <c r="W173" i="3"/>
  <c r="V89" i="3"/>
  <c r="AE335" i="3"/>
  <c r="T196" i="3"/>
  <c r="W196" i="3"/>
  <c r="W338" i="3"/>
  <c r="O338" i="3"/>
  <c r="P113" i="3"/>
  <c r="P116" i="3" s="1"/>
  <c r="W113" i="3"/>
  <c r="P334" i="3"/>
  <c r="W178" i="3"/>
  <c r="P178" i="3"/>
  <c r="W61" i="3"/>
  <c r="G180" i="3"/>
  <c r="Y439" i="3"/>
  <c r="J439" i="3"/>
  <c r="AC382" i="3"/>
  <c r="AE382" i="3" s="1"/>
  <c r="W383" i="3"/>
  <c r="W167" i="3"/>
  <c r="W162" i="3"/>
  <c r="AF404" i="3"/>
  <c r="AA404" i="3"/>
  <c r="AE404" i="3" s="1"/>
  <c r="P409" i="3"/>
  <c r="W409" i="3"/>
  <c r="T412" i="3"/>
  <c r="AF382" i="3"/>
  <c r="P371" i="3"/>
  <c r="G420" i="3"/>
  <c r="S180" i="3"/>
  <c r="S211" i="3" s="1"/>
  <c r="Y180" i="3"/>
  <c r="Y101" i="3"/>
  <c r="P219" i="3"/>
  <c r="W219" i="3"/>
  <c r="W401" i="3"/>
  <c r="O401" i="3"/>
  <c r="P274" i="3"/>
  <c r="P279" i="3" s="1"/>
  <c r="O330" i="3"/>
  <c r="W330" i="3"/>
  <c r="P322" i="3"/>
  <c r="W322" i="3"/>
  <c r="W408" i="3"/>
  <c r="W404" i="3"/>
  <c r="G89" i="3"/>
  <c r="AF423" i="3"/>
  <c r="AA423" i="3"/>
  <c r="AC423" i="3"/>
  <c r="AE424" i="3"/>
  <c r="T439" i="3"/>
  <c r="AE368" i="3"/>
  <c r="Y291" i="3"/>
  <c r="P204" i="3"/>
  <c r="O324" i="3"/>
  <c r="W324" i="3"/>
  <c r="W403" i="3"/>
  <c r="W75" i="3"/>
  <c r="W64" i="3"/>
  <c r="P64" i="3"/>
  <c r="O187" i="3"/>
  <c r="O190" i="3" s="1"/>
  <c r="W187" i="3"/>
  <c r="AA411" i="3"/>
  <c r="AF411" i="3"/>
  <c r="AC411" i="3"/>
  <c r="AF369" i="3"/>
  <c r="X291" i="3"/>
  <c r="Y237" i="3"/>
  <c r="W226" i="3"/>
  <c r="O206" i="3"/>
  <c r="P209" i="3"/>
  <c r="P210" i="3" s="1"/>
  <c r="AC408" i="3"/>
  <c r="AE408" i="3" s="1"/>
  <c r="AF408" i="3"/>
  <c r="W393" i="3"/>
  <c r="P393" i="3"/>
  <c r="P326" i="3"/>
  <c r="W326" i="3"/>
  <c r="AF433" i="3"/>
  <c r="AC433" i="3"/>
  <c r="AE433" i="3" s="1"/>
  <c r="AF427" i="3"/>
  <c r="AC427" i="3"/>
  <c r="AA427" i="3"/>
  <c r="W335" i="3"/>
  <c r="P335" i="3"/>
  <c r="P320" i="3"/>
  <c r="W320" i="3"/>
  <c r="AF341" i="3"/>
  <c r="AC341" i="3"/>
  <c r="AE341" i="3" s="1"/>
  <c r="P369" i="3"/>
  <c r="W369" i="3"/>
  <c r="O176" i="3"/>
  <c r="W176" i="3"/>
  <c r="W267" i="3"/>
  <c r="Z439" i="3"/>
  <c r="W425" i="3"/>
  <c r="J420" i="3"/>
  <c r="AC369" i="3"/>
  <c r="AE369" i="3" s="1"/>
  <c r="W126" i="3"/>
  <c r="W125" i="3"/>
  <c r="W398" i="3"/>
  <c r="T398" i="3"/>
  <c r="O321" i="3"/>
  <c r="W321" i="3"/>
  <c r="W429" i="3"/>
  <c r="O429" i="3"/>
  <c r="W319" i="3"/>
  <c r="W230" i="3"/>
  <c r="P230" i="3"/>
  <c r="W52" i="3"/>
  <c r="W329" i="3"/>
  <c r="O318" i="3"/>
  <c r="W318" i="3"/>
  <c r="P353" i="3"/>
  <c r="W353" i="3"/>
  <c r="P426" i="3"/>
  <c r="P439" i="3" s="1"/>
  <c r="W426" i="3"/>
  <c r="AF332" i="3"/>
  <c r="AC332" i="3"/>
  <c r="AA332" i="3"/>
  <c r="P217" i="3"/>
  <c r="Y121" i="3"/>
  <c r="Y136" i="3" s="1"/>
  <c r="W62" i="3"/>
  <c r="O62" i="3"/>
  <c r="U89" i="3"/>
  <c r="AF401" i="3"/>
  <c r="AC401" i="3"/>
  <c r="AA401" i="3"/>
  <c r="P350" i="3"/>
  <c r="W350" i="3"/>
  <c r="AF348" i="3"/>
  <c r="AC348" i="3"/>
  <c r="AA348" i="3"/>
  <c r="AF327" i="3"/>
  <c r="AA327" i="3"/>
  <c r="AC327" i="3"/>
  <c r="T342" i="3"/>
  <c r="W342" i="3"/>
  <c r="W378" i="3"/>
  <c r="O378" i="3"/>
  <c r="AA325" i="3"/>
  <c r="AF325" i="3"/>
  <c r="AC325" i="3"/>
  <c r="O296" i="3"/>
  <c r="O302" i="3" s="1"/>
  <c r="Y188" i="3"/>
  <c r="Y190" i="3" s="1"/>
  <c r="X190" i="3"/>
  <c r="T239" i="3"/>
  <c r="T240" i="3" s="1"/>
  <c r="X204" i="3"/>
  <c r="Y192" i="3"/>
  <c r="Y204" i="3" s="1"/>
  <c r="W171" i="3"/>
  <c r="O171" i="3"/>
  <c r="AA190" i="3"/>
  <c r="AE190" i="3"/>
  <c r="W156" i="3"/>
  <c r="O156" i="3"/>
  <c r="O159" i="3" s="1"/>
  <c r="W100" i="3"/>
  <c r="P100" i="3"/>
  <c r="P101" i="3" s="1"/>
  <c r="W129" i="3"/>
  <c r="AA34" i="3"/>
  <c r="Z35" i="3"/>
  <c r="Z150" i="3" s="1"/>
  <c r="AF34" i="3"/>
  <c r="AF35" i="3" s="1"/>
  <c r="AC34" i="3"/>
  <c r="AC35" i="3" s="1"/>
  <c r="AC150" i="3" s="1"/>
  <c r="P53" i="3"/>
  <c r="W53" i="3"/>
  <c r="Y35" i="3"/>
  <c r="W114" i="3"/>
  <c r="W382" i="3"/>
  <c r="P382" i="3"/>
  <c r="W283" i="3"/>
  <c r="O283" i="3"/>
  <c r="O291" i="3" s="1"/>
  <c r="N291" i="3"/>
  <c r="N303" i="3" s="1"/>
  <c r="O60" i="3"/>
  <c r="W60" i="3"/>
  <c r="X439" i="3"/>
  <c r="AF398" i="3"/>
  <c r="AD398" i="3"/>
  <c r="AC398" i="3"/>
  <c r="W379" i="3"/>
  <c r="O379" i="3"/>
  <c r="AF399" i="3"/>
  <c r="AD399" i="3"/>
  <c r="AC399" i="3"/>
  <c r="W388" i="3"/>
  <c r="O388" i="3"/>
  <c r="AF352" i="3"/>
  <c r="AC352" i="3"/>
  <c r="AA352" i="3"/>
  <c r="O348" i="3"/>
  <c r="W348" i="3"/>
  <c r="W381" i="3"/>
  <c r="P381" i="3"/>
  <c r="AC374" i="3"/>
  <c r="AA374" i="3"/>
  <c r="AF374" i="3"/>
  <c r="W339" i="3"/>
  <c r="O339" i="3"/>
  <c r="W325" i="3"/>
  <c r="P325" i="3"/>
  <c r="T296" i="3"/>
  <c r="W332" i="3"/>
  <c r="P332" i="3"/>
  <c r="W312" i="3"/>
  <c r="O312" i="3"/>
  <c r="J215" i="3"/>
  <c r="T188" i="3"/>
  <c r="T190" i="3" s="1"/>
  <c r="AF193" i="3"/>
  <c r="AC193" i="3"/>
  <c r="AC204" i="3" s="1"/>
  <c r="AC211" i="3" s="1"/>
  <c r="AA193" i="3"/>
  <c r="X237" i="3"/>
  <c r="X249" i="3"/>
  <c r="W140" i="3"/>
  <c r="T140" i="3"/>
  <c r="P149" i="3"/>
  <c r="X101" i="3"/>
  <c r="Y40" i="3"/>
  <c r="Y43" i="3" s="1"/>
  <c r="W165" i="3"/>
  <c r="O49" i="3"/>
  <c r="W49" i="3"/>
  <c r="X30" i="3"/>
  <c r="O20" i="3"/>
  <c r="X35" i="3"/>
  <c r="W257" i="3"/>
  <c r="W261" i="3" s="1"/>
  <c r="T257" i="3"/>
  <c r="T261" i="3" s="1"/>
  <c r="W377" i="3"/>
  <c r="O377" i="3"/>
  <c r="AF338" i="3"/>
  <c r="AC338" i="3"/>
  <c r="AA338" i="3"/>
  <c r="W245" i="3"/>
  <c r="P245" i="3"/>
  <c r="W285" i="3"/>
  <c r="O229" i="3"/>
  <c r="O237" i="3" s="1"/>
  <c r="W229" i="3"/>
  <c r="W224" i="3"/>
  <c r="T224" i="3"/>
  <c r="T237" i="3" s="1"/>
  <c r="X215" i="3"/>
  <c r="O207" i="3"/>
  <c r="Y89" i="3"/>
  <c r="W27" i="3"/>
  <c r="N30" i="3"/>
  <c r="P27" i="3"/>
  <c r="P30" i="3" s="1"/>
  <c r="W51" i="3"/>
  <c r="W66" i="3"/>
  <c r="O417" i="3"/>
  <c r="W392" i="3"/>
  <c r="T392" i="3"/>
  <c r="AF336" i="3"/>
  <c r="AC336" i="3"/>
  <c r="AA336" i="3"/>
  <c r="AF349" i="3"/>
  <c r="AC349" i="3"/>
  <c r="AA349" i="3"/>
  <c r="AF391" i="3"/>
  <c r="AC391" i="3"/>
  <c r="AA391" i="3"/>
  <c r="AF388" i="3"/>
  <c r="AC388" i="3"/>
  <c r="AA388" i="3"/>
  <c r="P349" i="3"/>
  <c r="W349" i="3"/>
  <c r="W395" i="3"/>
  <c r="P395" i="3"/>
  <c r="W337" i="3"/>
  <c r="T337" i="3"/>
  <c r="AA312" i="3"/>
  <c r="AC312" i="3"/>
  <c r="AF312" i="3"/>
  <c r="O394" i="3"/>
  <c r="N249" i="3"/>
  <c r="T249" i="3"/>
  <c r="X302" i="3"/>
  <c r="X303" i="3" s="1"/>
  <c r="N190" i="3"/>
  <c r="W188" i="3"/>
  <c r="P188" i="3"/>
  <c r="P190" i="3" s="1"/>
  <c r="Y215" i="3"/>
  <c r="W124" i="3"/>
  <c r="O124" i="3"/>
  <c r="O106" i="3"/>
  <c r="O107" i="3" s="1"/>
  <c r="W166" i="3"/>
  <c r="O166" i="3"/>
  <c r="W70" i="3"/>
  <c r="T70" i="3"/>
  <c r="T89" i="3" s="1"/>
  <c r="P72" i="3"/>
  <c r="W72" i="3"/>
  <c r="P328" i="3"/>
  <c r="AF350" i="3"/>
  <c r="AC350" i="3"/>
  <c r="AA350" i="3"/>
  <c r="T343" i="3"/>
  <c r="W343" i="3"/>
  <c r="AF395" i="3"/>
  <c r="AC395" i="3"/>
  <c r="AA395" i="3"/>
  <c r="O121" i="3"/>
  <c r="W121" i="3"/>
  <c r="AF393" i="3"/>
  <c r="AC393" i="3"/>
  <c r="AA393" i="3"/>
  <c r="Y420" i="3"/>
  <c r="AA416" i="3"/>
  <c r="AF416" i="3"/>
  <c r="AC416" i="3"/>
  <c r="S439" i="3"/>
  <c r="S440" i="3" s="1"/>
  <c r="W375" i="3"/>
  <c r="O375" i="3"/>
  <c r="V392" i="3"/>
  <c r="V420" i="3" s="1"/>
  <c r="V440" i="3" s="1"/>
  <c r="U420" i="3"/>
  <c r="U440" i="3" s="1"/>
  <c r="AF347" i="3"/>
  <c r="AC347" i="3"/>
  <c r="AA347" i="3"/>
  <c r="P416" i="3"/>
  <c r="W416" i="3"/>
  <c r="W384" i="3"/>
  <c r="P384" i="3"/>
  <c r="W373" i="3"/>
  <c r="P373" i="3"/>
  <c r="W399" i="3"/>
  <c r="T399" i="3"/>
  <c r="AF392" i="3"/>
  <c r="AD392" i="3"/>
  <c r="AD420" i="3" s="1"/>
  <c r="AC392" i="3"/>
  <c r="AF351" i="3"/>
  <c r="AC351" i="3"/>
  <c r="AA351" i="3"/>
  <c r="O347" i="3"/>
  <c r="W347" i="3"/>
  <c r="T345" i="3"/>
  <c r="W345" i="3"/>
  <c r="AC337" i="3"/>
  <c r="AF337" i="3"/>
  <c r="AA337" i="3"/>
  <c r="W336" i="3"/>
  <c r="O336" i="3"/>
  <c r="AE370" i="3"/>
  <c r="AE311" i="3"/>
  <c r="X279" i="3"/>
  <c r="Y274" i="3"/>
  <c r="Y279" i="3" s="1"/>
  <c r="AE344" i="3"/>
  <c r="Y280" i="3"/>
  <c r="Y281" i="3" s="1"/>
  <c r="X281" i="3"/>
  <c r="S249" i="3"/>
  <c r="G291" i="3"/>
  <c r="W288" i="3"/>
  <c r="W286" i="3"/>
  <c r="T286" i="3"/>
  <c r="T291" i="3" s="1"/>
  <c r="P186" i="3"/>
  <c r="W127" i="3"/>
  <c r="P127" i="3"/>
  <c r="P136" i="3" s="1"/>
  <c r="W163" i="3"/>
  <c r="P163" i="3"/>
  <c r="W228" i="3"/>
  <c r="P228" i="3"/>
  <c r="X180" i="3"/>
  <c r="W123" i="3"/>
  <c r="O123" i="3"/>
  <c r="P68" i="3"/>
  <c r="W68" i="3"/>
  <c r="W122" i="3"/>
  <c r="T40" i="3"/>
  <c r="T43" i="3" s="1"/>
  <c r="W40" i="3"/>
  <c r="W43" i="3" s="1"/>
  <c r="AA378" i="3"/>
  <c r="AF378" i="3"/>
  <c r="AC378" i="3"/>
  <c r="P352" i="3"/>
  <c r="W352" i="3"/>
  <c r="T341" i="3"/>
  <c r="W341" i="3"/>
  <c r="T192" i="3"/>
  <c r="W372" i="3"/>
  <c r="P372" i="3"/>
  <c r="W435" i="3"/>
  <c r="O435" i="3"/>
  <c r="AF389" i="3"/>
  <c r="AA389" i="3"/>
  <c r="AC389" i="3"/>
  <c r="W346" i="3"/>
  <c r="P346" i="3"/>
  <c r="AA415" i="3"/>
  <c r="AF415" i="3"/>
  <c r="AC415" i="3"/>
  <c r="AF435" i="3"/>
  <c r="AC435" i="3"/>
  <c r="AA435" i="3"/>
  <c r="AE384" i="3"/>
  <c r="O351" i="3"/>
  <c r="W351" i="3"/>
  <c r="AF339" i="3"/>
  <c r="AC339" i="3"/>
  <c r="AA339" i="3"/>
  <c r="AF381" i="3"/>
  <c r="AA381" i="3"/>
  <c r="AC381" i="3"/>
  <c r="AF334" i="3"/>
  <c r="AC334" i="3"/>
  <c r="AA334" i="3"/>
  <c r="AF394" i="3"/>
  <c r="AC394" i="3"/>
  <c r="AA394" i="3"/>
  <c r="T272" i="3"/>
  <c r="W232" i="3"/>
  <c r="W239" i="3"/>
  <c r="W240" i="3" s="1"/>
  <c r="O239" i="3"/>
  <c r="O240" i="3" s="1"/>
  <c r="W177" i="3"/>
  <c r="O177" i="3"/>
  <c r="V286" i="3"/>
  <c r="V291" i="3" s="1"/>
  <c r="V303" i="3" s="1"/>
  <c r="U291" i="3"/>
  <c r="U303" i="3" s="1"/>
  <c r="X210" i="3"/>
  <c r="W168" i="3"/>
  <c r="P168" i="3"/>
  <c r="W186" i="3"/>
  <c r="X149" i="3"/>
  <c r="W192" i="3"/>
  <c r="S142" i="3"/>
  <c r="T139" i="3"/>
  <c r="X116" i="3"/>
  <c r="Y113" i="3"/>
  <c r="Y116" i="3" s="1"/>
  <c r="W139" i="3"/>
  <c r="W227" i="3"/>
  <c r="W7" i="3"/>
  <c r="W20" i="3" s="1"/>
  <c r="P7" i="3"/>
  <c r="P20" i="3" s="1"/>
  <c r="X89" i="3"/>
  <c r="W74" i="3"/>
  <c r="AC372" i="3"/>
  <c r="AF372" i="3"/>
  <c r="AA372" i="3"/>
  <c r="P415" i="3"/>
  <c r="W415" i="3"/>
  <c r="W397" i="3"/>
  <c r="O397" i="3"/>
  <c r="AA417" i="3"/>
  <c r="AC417" i="3"/>
  <c r="AF417" i="3"/>
  <c r="AC376" i="3"/>
  <c r="AF376" i="3"/>
  <c r="AA376" i="3"/>
  <c r="AF353" i="3"/>
  <c r="AC353" i="3"/>
  <c r="AA353" i="3"/>
  <c r="W374" i="3"/>
  <c r="T344" i="3"/>
  <c r="W344" i="3"/>
  <c r="W298" i="3"/>
  <c r="T298" i="3"/>
  <c r="W327" i="3"/>
  <c r="P248" i="3"/>
  <c r="W248" i="3"/>
  <c r="W290" i="3"/>
  <c r="P290" i="3"/>
  <c r="P291" i="3" s="1"/>
  <c r="P303" i="3" s="1"/>
  <c r="W200" i="3"/>
  <c r="O200" i="3"/>
  <c r="O204" i="3" s="1"/>
  <c r="Y139" i="3"/>
  <c r="Y142" i="3" s="1"/>
  <c r="X142" i="3"/>
  <c r="W96" i="3"/>
  <c r="W154" i="3"/>
  <c r="AA439" i="3" l="1"/>
  <c r="AC420" i="3"/>
  <c r="N150" i="3"/>
  <c r="AF420" i="3"/>
  <c r="AA420" i="3"/>
  <c r="S150" i="3"/>
  <c r="AF439" i="3"/>
  <c r="AF440" i="3" s="1"/>
  <c r="S282" i="3"/>
  <c r="J303" i="3"/>
  <c r="O89" i="3"/>
  <c r="O303" i="3"/>
  <c r="F441" i="3"/>
  <c r="J211" i="3"/>
  <c r="O282" i="3"/>
  <c r="P420" i="3"/>
  <c r="P237" i="3"/>
  <c r="A58" i="3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O420" i="3"/>
  <c r="Y150" i="3"/>
  <c r="G282" i="3"/>
  <c r="J282" i="3"/>
  <c r="J150" i="3"/>
  <c r="P89" i="3"/>
  <c r="P150" i="3" s="1"/>
  <c r="O136" i="3"/>
  <c r="O150" i="3" s="1"/>
  <c r="X150" i="3"/>
  <c r="G150" i="3"/>
  <c r="Y303" i="3"/>
  <c r="O439" i="3"/>
  <c r="AF150" i="3"/>
  <c r="X211" i="3"/>
  <c r="Y211" i="3"/>
  <c r="N282" i="3"/>
  <c r="X282" i="3"/>
  <c r="G303" i="3"/>
  <c r="Y282" i="3"/>
  <c r="G211" i="3"/>
  <c r="U150" i="3"/>
  <c r="U441" i="3" s="1"/>
  <c r="V150" i="3"/>
  <c r="V441" i="3" s="1"/>
  <c r="N211" i="3"/>
  <c r="T159" i="3"/>
  <c r="W159" i="3"/>
  <c r="N440" i="3"/>
  <c r="AE425" i="3"/>
  <c r="W89" i="3"/>
  <c r="W439" i="3"/>
  <c r="W420" i="3"/>
  <c r="W204" i="3"/>
  <c r="W180" i="3"/>
  <c r="AE334" i="3"/>
  <c r="AE391" i="3"/>
  <c r="AE193" i="3"/>
  <c r="AE204" i="3" s="1"/>
  <c r="AE211" i="3" s="1"/>
  <c r="W291" i="3"/>
  <c r="AE434" i="3"/>
  <c r="W136" i="3"/>
  <c r="T215" i="3"/>
  <c r="T282" i="3" s="1"/>
  <c r="AE432" i="3"/>
  <c r="AE403" i="3"/>
  <c r="AE380" i="3"/>
  <c r="O210" i="3"/>
  <c r="AE343" i="3"/>
  <c r="AE422" i="3"/>
  <c r="W30" i="3"/>
  <c r="AF204" i="3"/>
  <c r="AF211" i="3" s="1"/>
  <c r="W101" i="3"/>
  <c r="G440" i="3"/>
  <c r="AE412" i="3"/>
  <c r="AE373" i="3"/>
  <c r="AE377" i="3"/>
  <c r="T204" i="3"/>
  <c r="AE336" i="3"/>
  <c r="AC439" i="3"/>
  <c r="AC440" i="3" s="1"/>
  <c r="W190" i="3"/>
  <c r="AE395" i="3"/>
  <c r="AE411" i="3"/>
  <c r="W210" i="3"/>
  <c r="AE325" i="3"/>
  <c r="AE376" i="3"/>
  <c r="J440" i="3"/>
  <c r="AE428" i="3"/>
  <c r="W249" i="3"/>
  <c r="Y440" i="3"/>
  <c r="AD440" i="3"/>
  <c r="AD441" i="3" s="1"/>
  <c r="W142" i="3"/>
  <c r="AE353" i="3"/>
  <c r="AE327" i="3"/>
  <c r="AE351" i="3"/>
  <c r="AE350" i="3"/>
  <c r="AE401" i="3"/>
  <c r="AE427" i="3"/>
  <c r="AE381" i="3"/>
  <c r="O180" i="3"/>
  <c r="O211" i="3" s="1"/>
  <c r="Z440" i="3"/>
  <c r="Z441" i="3" s="1"/>
  <c r="AE416" i="3"/>
  <c r="AE332" i="3"/>
  <c r="AE429" i="3"/>
  <c r="T420" i="3"/>
  <c r="T440" i="3" s="1"/>
  <c r="P249" i="3"/>
  <c r="P282" i="3" s="1"/>
  <c r="AE339" i="3"/>
  <c r="AE348" i="3"/>
  <c r="AE435" i="3"/>
  <c r="W116" i="3"/>
  <c r="T142" i="3"/>
  <c r="T150" i="3" s="1"/>
  <c r="W302" i="3"/>
  <c r="AE388" i="3"/>
  <c r="AE415" i="3"/>
  <c r="AE352" i="3"/>
  <c r="AE423" i="3"/>
  <c r="AE409" i="3"/>
  <c r="AE392" i="3"/>
  <c r="AE349" i="3"/>
  <c r="T302" i="3"/>
  <c r="T303" i="3" s="1"/>
  <c r="P440" i="3"/>
  <c r="AE417" i="3"/>
  <c r="AE393" i="3"/>
  <c r="AE312" i="3"/>
  <c r="AA204" i="3"/>
  <c r="AA211" i="3" s="1"/>
  <c r="AE399" i="3"/>
  <c r="X440" i="3"/>
  <c r="AE34" i="3"/>
  <c r="AE35" i="3" s="1"/>
  <c r="AE150" i="3" s="1"/>
  <c r="AA35" i="3"/>
  <c r="AA150" i="3" s="1"/>
  <c r="AE389" i="3"/>
  <c r="P180" i="3"/>
  <c r="P211" i="3" s="1"/>
  <c r="W237" i="3"/>
  <c r="AE378" i="3"/>
  <c r="AE337" i="3"/>
  <c r="AE394" i="3"/>
  <c r="AE347" i="3"/>
  <c r="AE338" i="3"/>
  <c r="AE372" i="3"/>
  <c r="AE374" i="3"/>
  <c r="AE398" i="3"/>
  <c r="X441" i="3" l="1"/>
  <c r="AA440" i="3"/>
  <c r="W150" i="3"/>
  <c r="S441" i="3"/>
  <c r="A79" i="3"/>
  <c r="A80" i="3" s="1"/>
  <c r="A81" i="3" s="1"/>
  <c r="A82" i="3" s="1"/>
  <c r="A83" i="3" s="1"/>
  <c r="A84" i="3" s="1"/>
  <c r="A85" i="3" s="1"/>
  <c r="A86" i="3" s="1"/>
  <c r="A87" i="3" s="1"/>
  <c r="A88" i="3" s="1"/>
  <c r="A90" i="3" s="1"/>
  <c r="A91" i="3" s="1"/>
  <c r="A92" i="3" s="1"/>
  <c r="A93" i="3" s="1"/>
  <c r="A94" i="3" s="1"/>
  <c r="A95" i="3" s="1"/>
  <c r="A97" i="3" s="1"/>
  <c r="A98" i="3" s="1"/>
  <c r="A99" i="3" s="1"/>
  <c r="A100" i="3" s="1"/>
  <c r="A102" i="3" s="1"/>
  <c r="A103" i="3" s="1"/>
  <c r="A105" i="3" s="1"/>
  <c r="A106" i="3" s="1"/>
  <c r="A108" i="3" s="1"/>
  <c r="Y441" i="3"/>
  <c r="J441" i="3"/>
  <c r="H443" i="3" s="1"/>
  <c r="W282" i="3"/>
  <c r="G441" i="3"/>
  <c r="H442" i="3" s="1"/>
  <c r="N441" i="3"/>
  <c r="W211" i="3"/>
  <c r="T211" i="3"/>
  <c r="T441" i="3" s="1"/>
  <c r="W303" i="3"/>
  <c r="P441" i="3"/>
  <c r="O440" i="3"/>
  <c r="O441" i="3" s="1"/>
  <c r="AA441" i="3"/>
  <c r="W440" i="3"/>
  <c r="AC441" i="3"/>
  <c r="AE420" i="3"/>
  <c r="AF441" i="3"/>
  <c r="AE439" i="3"/>
  <c r="H444" i="3" l="1"/>
  <c r="W441" i="3"/>
  <c r="AE440" i="3"/>
  <c r="AE441" i="3" s="1"/>
  <c r="AQ35" i="1" l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X35" i="1"/>
  <c r="W35" i="1"/>
  <c r="T35" i="1"/>
  <c r="S35" i="1"/>
  <c r="O35" i="1"/>
  <c r="N35" i="1"/>
  <c r="M35" i="1"/>
  <c r="L35" i="1"/>
  <c r="J35" i="1"/>
  <c r="I35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X37" i="1"/>
  <c r="W37" i="1"/>
  <c r="T37" i="1"/>
  <c r="S37" i="1"/>
  <c r="Q37" i="1"/>
  <c r="O37" i="1"/>
  <c r="N37" i="1"/>
  <c r="M37" i="1"/>
  <c r="L37" i="1"/>
  <c r="J37" i="1"/>
  <c r="I37" i="1"/>
  <c r="G37" i="1"/>
  <c r="AH363" i="1"/>
  <c r="AF363" i="1"/>
  <c r="AC363" i="1"/>
  <c r="X363" i="1"/>
  <c r="W363" i="1"/>
  <c r="T363" i="1"/>
  <c r="S363" i="1"/>
  <c r="N363" i="1"/>
  <c r="L363" i="1"/>
  <c r="I363" i="1"/>
  <c r="AB362" i="1"/>
  <c r="Z362" i="1"/>
  <c r="AA362" i="1" s="1"/>
  <c r="U362" i="1"/>
  <c r="P362" i="1"/>
  <c r="R362" i="1" s="1"/>
  <c r="K362" i="1"/>
  <c r="H362" i="1"/>
  <c r="AB361" i="1"/>
  <c r="Z361" i="1"/>
  <c r="AA361" i="1" s="1"/>
  <c r="U361" i="1"/>
  <c r="P361" i="1"/>
  <c r="R361" i="1" s="1"/>
  <c r="K361" i="1"/>
  <c r="H361" i="1"/>
  <c r="G360" i="1"/>
  <c r="P360" i="1" s="1"/>
  <c r="G359" i="1"/>
  <c r="G358" i="1"/>
  <c r="U358" i="1" s="1"/>
  <c r="V358" i="1" s="1"/>
  <c r="G357" i="1"/>
  <c r="AB356" i="1"/>
  <c r="AJ356" i="1" s="1"/>
  <c r="Z356" i="1"/>
  <c r="AA356" i="1" s="1"/>
  <c r="U356" i="1"/>
  <c r="V356" i="1" s="1"/>
  <c r="P356" i="1"/>
  <c r="K356" i="1"/>
  <c r="H356" i="1"/>
  <c r="Z355" i="1"/>
  <c r="AA355" i="1" s="1"/>
  <c r="U355" i="1"/>
  <c r="V355" i="1" s="1"/>
  <c r="P355" i="1"/>
  <c r="K355" i="1"/>
  <c r="H355" i="1"/>
  <c r="Z354" i="1"/>
  <c r="AA354" i="1" s="1"/>
  <c r="U354" i="1"/>
  <c r="P354" i="1"/>
  <c r="R354" i="1" s="1"/>
  <c r="K354" i="1"/>
  <c r="H354" i="1"/>
  <c r="G353" i="1"/>
  <c r="G352" i="1"/>
  <c r="U352" i="1" s="1"/>
  <c r="V352" i="1" s="1"/>
  <c r="G351" i="1"/>
  <c r="U351" i="1" s="1"/>
  <c r="V351" i="1" s="1"/>
  <c r="G350" i="1"/>
  <c r="G349" i="1"/>
  <c r="Z349" i="1" s="1"/>
  <c r="AA349" i="1" s="1"/>
  <c r="G348" i="1"/>
  <c r="Z348" i="1" s="1"/>
  <c r="AA348" i="1" s="1"/>
  <c r="G347" i="1"/>
  <c r="Z347" i="1" s="1"/>
  <c r="AA347" i="1" s="1"/>
  <c r="AQ346" i="1"/>
  <c r="AQ364" i="1" s="1"/>
  <c r="AP346" i="1"/>
  <c r="AP364" i="1" s="1"/>
  <c r="AO346" i="1"/>
  <c r="AN346" i="1"/>
  <c r="AM346" i="1"/>
  <c r="AM364" i="1" s="1"/>
  <c r="AL346" i="1"/>
  <c r="AL364" i="1" s="1"/>
  <c r="AK346" i="1"/>
  <c r="AK364" i="1" s="1"/>
  <c r="AC346" i="1"/>
  <c r="O346" i="1"/>
  <c r="N346" i="1"/>
  <c r="M346" i="1"/>
  <c r="M363" i="1" s="1"/>
  <c r="L346" i="1"/>
  <c r="J346" i="1"/>
  <c r="J363" i="1" s="1"/>
  <c r="I346" i="1"/>
  <c r="G345" i="1"/>
  <c r="U345" i="1" s="1"/>
  <c r="V345" i="1" s="1"/>
  <c r="G344" i="1"/>
  <c r="U344" i="1" s="1"/>
  <c r="V344" i="1" s="1"/>
  <c r="G343" i="1"/>
  <c r="Z343" i="1" s="1"/>
  <c r="AA343" i="1" s="1"/>
  <c r="G342" i="1"/>
  <c r="Z342" i="1" s="1"/>
  <c r="AA342" i="1" s="1"/>
  <c r="G340" i="1"/>
  <c r="G339" i="1"/>
  <c r="H339" i="1" s="1"/>
  <c r="G337" i="1"/>
  <c r="H337" i="1" s="1"/>
  <c r="G336" i="1"/>
  <c r="H336" i="1" s="1"/>
  <c r="G334" i="1"/>
  <c r="Z334" i="1" s="1"/>
  <c r="AA334" i="1" s="1"/>
  <c r="G333" i="1"/>
  <c r="G332" i="1"/>
  <c r="Z332" i="1" s="1"/>
  <c r="AA332" i="1" s="1"/>
  <c r="G331" i="1"/>
  <c r="Z331" i="1" s="1"/>
  <c r="AA331" i="1" s="1"/>
  <c r="G330" i="1"/>
  <c r="H330" i="1" s="1"/>
  <c r="G329" i="1"/>
  <c r="H329" i="1" s="1"/>
  <c r="G328" i="1"/>
  <c r="Z328" i="1" s="1"/>
  <c r="AA328" i="1" s="1"/>
  <c r="G327" i="1"/>
  <c r="Z327" i="1" s="1"/>
  <c r="AA327" i="1" s="1"/>
  <c r="G325" i="1"/>
  <c r="Z325" i="1" s="1"/>
  <c r="AA325" i="1" s="1"/>
  <c r="G324" i="1"/>
  <c r="H324" i="1" s="1"/>
  <c r="G323" i="1"/>
  <c r="H323" i="1" s="1"/>
  <c r="G322" i="1"/>
  <c r="H322" i="1" s="1"/>
  <c r="G321" i="1"/>
  <c r="U321" i="1" s="1"/>
  <c r="V321" i="1" s="1"/>
  <c r="G320" i="1"/>
  <c r="U320" i="1" s="1"/>
  <c r="V320" i="1" s="1"/>
  <c r="G319" i="1"/>
  <c r="Z319" i="1" s="1"/>
  <c r="AA319" i="1" s="1"/>
  <c r="G318" i="1"/>
  <c r="H318" i="1" s="1"/>
  <c r="G317" i="1"/>
  <c r="P317" i="1" s="1"/>
  <c r="Q317" i="1" s="1"/>
  <c r="G316" i="1"/>
  <c r="P316" i="1" s="1"/>
  <c r="G315" i="1"/>
  <c r="Z315" i="1" s="1"/>
  <c r="AA315" i="1" s="1"/>
  <c r="G314" i="1"/>
  <c r="U314" i="1" s="1"/>
  <c r="V314" i="1" s="1"/>
  <c r="G313" i="1"/>
  <c r="U313" i="1" s="1"/>
  <c r="V313" i="1" s="1"/>
  <c r="G312" i="1"/>
  <c r="U312" i="1" s="1"/>
  <c r="V312" i="1" s="1"/>
  <c r="G311" i="1"/>
  <c r="Z311" i="1" s="1"/>
  <c r="AA311" i="1" s="1"/>
  <c r="G310" i="1"/>
  <c r="G309" i="1"/>
  <c r="Z309" i="1" s="1"/>
  <c r="AA309" i="1" s="1"/>
  <c r="G308" i="1"/>
  <c r="Z308" i="1" s="1"/>
  <c r="AA308" i="1" s="1"/>
  <c r="G307" i="1"/>
  <c r="Z307" i="1" s="1"/>
  <c r="AA307" i="1" s="1"/>
  <c r="G306" i="1"/>
  <c r="G305" i="1"/>
  <c r="Z305" i="1" s="1"/>
  <c r="AA305" i="1" s="1"/>
  <c r="G304" i="1"/>
  <c r="Z304" i="1" s="1"/>
  <c r="AA304" i="1" s="1"/>
  <c r="G303" i="1"/>
  <c r="Z303" i="1" s="1"/>
  <c r="AA303" i="1" s="1"/>
  <c r="G302" i="1"/>
  <c r="P302" i="1" s="1"/>
  <c r="G301" i="1"/>
  <c r="Z301" i="1" s="1"/>
  <c r="AA301" i="1" s="1"/>
  <c r="G300" i="1"/>
  <c r="Z300" i="1" s="1"/>
  <c r="AA300" i="1" s="1"/>
  <c r="G299" i="1"/>
  <c r="Z299" i="1" s="1"/>
  <c r="AA299" i="1" s="1"/>
  <c r="G298" i="1"/>
  <c r="U298" i="1" s="1"/>
  <c r="V298" i="1" s="1"/>
  <c r="G297" i="1"/>
  <c r="Z297" i="1" s="1"/>
  <c r="AA297" i="1" s="1"/>
  <c r="G296" i="1"/>
  <c r="AB295" i="1"/>
  <c r="AE295" i="1" s="1"/>
  <c r="Z295" i="1"/>
  <c r="AA295" i="1" s="1"/>
  <c r="U295" i="1"/>
  <c r="V295" i="1" s="1"/>
  <c r="P295" i="1"/>
  <c r="K295" i="1"/>
  <c r="H295" i="1"/>
  <c r="AB294" i="1"/>
  <c r="AJ294" i="1" s="1"/>
  <c r="Z294" i="1"/>
  <c r="AA294" i="1" s="1"/>
  <c r="U294" i="1"/>
  <c r="V294" i="1" s="1"/>
  <c r="P294" i="1"/>
  <c r="R294" i="1" s="1"/>
  <c r="K294" i="1"/>
  <c r="H294" i="1"/>
  <c r="AB293" i="1"/>
  <c r="AJ293" i="1" s="1"/>
  <c r="Z293" i="1"/>
  <c r="AA293" i="1" s="1"/>
  <c r="U293" i="1"/>
  <c r="V293" i="1" s="1"/>
  <c r="P293" i="1"/>
  <c r="R293" i="1" s="1"/>
  <c r="K293" i="1"/>
  <c r="H293" i="1"/>
  <c r="G292" i="1"/>
  <c r="AB292" i="1" s="1"/>
  <c r="AJ292" i="1" s="1"/>
  <c r="G291" i="1"/>
  <c r="Z291" i="1" s="1"/>
  <c r="AA291" i="1" s="1"/>
  <c r="G290" i="1"/>
  <c r="Z290" i="1" s="1"/>
  <c r="AA290" i="1" s="1"/>
  <c r="G289" i="1"/>
  <c r="AB289" i="1" s="1"/>
  <c r="AE289" i="1" s="1"/>
  <c r="G288" i="1"/>
  <c r="G287" i="1"/>
  <c r="U287" i="1" s="1"/>
  <c r="V287" i="1" s="1"/>
  <c r="G286" i="1"/>
  <c r="P286" i="1" s="1"/>
  <c r="G285" i="1"/>
  <c r="Z285" i="1" s="1"/>
  <c r="AA285" i="1" s="1"/>
  <c r="G284" i="1"/>
  <c r="Z284" i="1" s="1"/>
  <c r="AA284" i="1" s="1"/>
  <c r="G283" i="1"/>
  <c r="G282" i="1"/>
  <c r="U282" i="1" s="1"/>
  <c r="V282" i="1" s="1"/>
  <c r="G281" i="1"/>
  <c r="Z281" i="1" s="1"/>
  <c r="AA281" i="1" s="1"/>
  <c r="G280" i="1"/>
  <c r="Z280" i="1" s="1"/>
  <c r="AA280" i="1" s="1"/>
  <c r="G279" i="1"/>
  <c r="Z279" i="1" s="1"/>
  <c r="AA279" i="1" s="1"/>
  <c r="G278" i="1"/>
  <c r="G277" i="1"/>
  <c r="U277" i="1" s="1"/>
  <c r="V277" i="1" s="1"/>
  <c r="G276" i="1"/>
  <c r="Z276" i="1" s="1"/>
  <c r="AA276" i="1" s="1"/>
  <c r="G275" i="1"/>
  <c r="Z275" i="1" s="1"/>
  <c r="AA275" i="1" s="1"/>
  <c r="G274" i="1"/>
  <c r="G273" i="1"/>
  <c r="U273" i="1" s="1"/>
  <c r="V273" i="1" s="1"/>
  <c r="G272" i="1"/>
  <c r="Z272" i="1" s="1"/>
  <c r="AA272" i="1" s="1"/>
  <c r="G271" i="1"/>
  <c r="P271" i="1" s="1"/>
  <c r="G269" i="1"/>
  <c r="P269" i="1" s="1"/>
  <c r="G268" i="1"/>
  <c r="P268" i="1" s="1"/>
  <c r="R268" i="1" s="1"/>
  <c r="G267" i="1"/>
  <c r="P267" i="1" s="1"/>
  <c r="G266" i="1"/>
  <c r="P266" i="1" s="1"/>
  <c r="G265" i="1"/>
  <c r="P265" i="1" s="1"/>
  <c r="G264" i="1"/>
  <c r="P264" i="1" s="1"/>
  <c r="G263" i="1"/>
  <c r="P263" i="1" s="1"/>
  <c r="R263" i="1" s="1"/>
  <c r="G262" i="1"/>
  <c r="P262" i="1" s="1"/>
  <c r="G261" i="1"/>
  <c r="G260" i="1"/>
  <c r="P260" i="1" s="1"/>
  <c r="R260" i="1" s="1"/>
  <c r="G259" i="1"/>
  <c r="G258" i="1"/>
  <c r="P258" i="1" s="1"/>
  <c r="Q258" i="1" s="1"/>
  <c r="G257" i="1"/>
  <c r="P257" i="1" s="1"/>
  <c r="R257" i="1" s="1"/>
  <c r="G256" i="1"/>
  <c r="P256" i="1" s="1"/>
  <c r="Q256" i="1" s="1"/>
  <c r="G255" i="1"/>
  <c r="P255" i="1" s="1"/>
  <c r="Q255" i="1" s="1"/>
  <c r="AB254" i="1"/>
  <c r="AG254" i="1" s="1"/>
  <c r="Z254" i="1"/>
  <c r="AA254" i="1" s="1"/>
  <c r="U254" i="1"/>
  <c r="V254" i="1" s="1"/>
  <c r="P254" i="1"/>
  <c r="K254" i="1"/>
  <c r="H254" i="1"/>
  <c r="G252" i="1"/>
  <c r="Z252" i="1" s="1"/>
  <c r="AA252" i="1" s="1"/>
  <c r="G251" i="1"/>
  <c r="Z251" i="1" s="1"/>
  <c r="AA251" i="1" s="1"/>
  <c r="G250" i="1"/>
  <c r="H250" i="1" s="1"/>
  <c r="G249" i="1"/>
  <c r="Z249" i="1" s="1"/>
  <c r="T248" i="1"/>
  <c r="S248" i="1"/>
  <c r="O248" i="1"/>
  <c r="N248" i="1"/>
  <c r="M248" i="1"/>
  <c r="L248" i="1"/>
  <c r="J248" i="1"/>
  <c r="I248" i="1"/>
  <c r="Z247" i="1"/>
  <c r="AA247" i="1" s="1"/>
  <c r="U247" i="1"/>
  <c r="V247" i="1" s="1"/>
  <c r="P247" i="1"/>
  <c r="K247" i="1"/>
  <c r="H247" i="1"/>
  <c r="Z246" i="1"/>
  <c r="AA246" i="1" s="1"/>
  <c r="U246" i="1"/>
  <c r="P246" i="1"/>
  <c r="R246" i="1" s="1"/>
  <c r="K246" i="1"/>
  <c r="H246" i="1"/>
  <c r="Z245" i="1"/>
  <c r="AA245" i="1" s="1"/>
  <c r="U245" i="1"/>
  <c r="V245" i="1" s="1"/>
  <c r="P245" i="1"/>
  <c r="K245" i="1"/>
  <c r="H245" i="1"/>
  <c r="Z244" i="1"/>
  <c r="AA244" i="1" s="1"/>
  <c r="W244" i="1"/>
  <c r="X244" i="1" s="1"/>
  <c r="U244" i="1"/>
  <c r="V244" i="1" s="1"/>
  <c r="K244" i="1"/>
  <c r="H244" i="1"/>
  <c r="Z243" i="1"/>
  <c r="AA243" i="1" s="1"/>
  <c r="U243" i="1"/>
  <c r="V243" i="1" s="1"/>
  <c r="P243" i="1"/>
  <c r="K243" i="1"/>
  <c r="H243" i="1"/>
  <c r="G242" i="1"/>
  <c r="G241" i="1"/>
  <c r="H241" i="1" s="1"/>
  <c r="G240" i="1"/>
  <c r="K240" i="1" s="1"/>
  <c r="G239" i="1"/>
  <c r="U239" i="1" s="1"/>
  <c r="V239" i="1" s="1"/>
  <c r="G238" i="1"/>
  <c r="Z238" i="1" s="1"/>
  <c r="AA238" i="1" s="1"/>
  <c r="G237" i="1"/>
  <c r="P237" i="1" s="1"/>
  <c r="G236" i="1"/>
  <c r="Z236" i="1" s="1"/>
  <c r="AA236" i="1" s="1"/>
  <c r="G235" i="1"/>
  <c r="U235" i="1" s="1"/>
  <c r="G234" i="1"/>
  <c r="P234" i="1" s="1"/>
  <c r="G233" i="1"/>
  <c r="K233" i="1" s="1"/>
  <c r="G232" i="1"/>
  <c r="W232" i="1" s="1"/>
  <c r="X232" i="1" s="1"/>
  <c r="G231" i="1"/>
  <c r="Z231" i="1" s="1"/>
  <c r="AA231" i="1" s="1"/>
  <c r="G230" i="1"/>
  <c r="G229" i="1"/>
  <c r="G228" i="1"/>
  <c r="Z228" i="1" s="1"/>
  <c r="AA228" i="1" s="1"/>
  <c r="G227" i="1"/>
  <c r="P227" i="1" s="1"/>
  <c r="G226" i="1"/>
  <c r="P226" i="1" s="1"/>
  <c r="G225" i="1"/>
  <c r="K225" i="1" s="1"/>
  <c r="G224" i="1"/>
  <c r="U224" i="1" s="1"/>
  <c r="V224" i="1" s="1"/>
  <c r="G223" i="1"/>
  <c r="Z223" i="1" s="1"/>
  <c r="AA223" i="1" s="1"/>
  <c r="G222" i="1"/>
  <c r="K222" i="1" s="1"/>
  <c r="G221" i="1"/>
  <c r="G220" i="1"/>
  <c r="Z220" i="1" s="1"/>
  <c r="AA220" i="1" s="1"/>
  <c r="G219" i="1"/>
  <c r="U219" i="1" s="1"/>
  <c r="G218" i="1"/>
  <c r="P218" i="1" s="1"/>
  <c r="G217" i="1"/>
  <c r="K217" i="1" s="1"/>
  <c r="G216" i="1"/>
  <c r="W216" i="1" s="1"/>
  <c r="X216" i="1" s="1"/>
  <c r="G215" i="1"/>
  <c r="Z215" i="1" s="1"/>
  <c r="AA215" i="1" s="1"/>
  <c r="G214" i="1"/>
  <c r="K214" i="1" s="1"/>
  <c r="G213" i="1"/>
  <c r="Z213" i="1" s="1"/>
  <c r="AA213" i="1" s="1"/>
  <c r="Z212" i="1"/>
  <c r="AA212" i="1" s="1"/>
  <c r="U212" i="1"/>
  <c r="P212" i="1"/>
  <c r="K212" i="1"/>
  <c r="H212" i="1"/>
  <c r="X211" i="1"/>
  <c r="W211" i="1"/>
  <c r="T211" i="1"/>
  <c r="S211" i="1"/>
  <c r="N211" i="1"/>
  <c r="L211" i="1"/>
  <c r="I211" i="1"/>
  <c r="Z210" i="1"/>
  <c r="AA210" i="1" s="1"/>
  <c r="U210" i="1"/>
  <c r="V210" i="1" s="1"/>
  <c r="P210" i="1"/>
  <c r="R210" i="1" s="1"/>
  <c r="K210" i="1"/>
  <c r="H210" i="1"/>
  <c r="Z209" i="1"/>
  <c r="AA209" i="1" s="1"/>
  <c r="U209" i="1"/>
  <c r="V209" i="1" s="1"/>
  <c r="P209" i="1"/>
  <c r="K209" i="1"/>
  <c r="H209" i="1"/>
  <c r="Z208" i="1"/>
  <c r="AA208" i="1" s="1"/>
  <c r="U208" i="1"/>
  <c r="V208" i="1" s="1"/>
  <c r="P208" i="1"/>
  <c r="K208" i="1"/>
  <c r="H208" i="1"/>
  <c r="Z207" i="1"/>
  <c r="AA207" i="1" s="1"/>
  <c r="U207" i="1"/>
  <c r="V207" i="1" s="1"/>
  <c r="P207" i="1"/>
  <c r="Q207" i="1" s="1"/>
  <c r="K207" i="1"/>
  <c r="H207" i="1"/>
  <c r="G206" i="1"/>
  <c r="U206" i="1" s="1"/>
  <c r="Z205" i="1"/>
  <c r="AA205" i="1" s="1"/>
  <c r="U205" i="1"/>
  <c r="V205" i="1" s="1"/>
  <c r="P205" i="1"/>
  <c r="K205" i="1"/>
  <c r="H205" i="1"/>
  <c r="G204" i="1"/>
  <c r="K204" i="1" s="1"/>
  <c r="Z203" i="1"/>
  <c r="U203" i="1"/>
  <c r="V203" i="1" s="1"/>
  <c r="P203" i="1"/>
  <c r="R203" i="1" s="1"/>
  <c r="K203" i="1"/>
  <c r="H203" i="1"/>
  <c r="X202" i="1"/>
  <c r="T202" i="1"/>
  <c r="S202" i="1"/>
  <c r="R202" i="1"/>
  <c r="O202" i="1"/>
  <c r="N202" i="1"/>
  <c r="M202" i="1"/>
  <c r="L202" i="1"/>
  <c r="J202" i="1"/>
  <c r="I202" i="1"/>
  <c r="G201" i="1"/>
  <c r="K201" i="1" s="1"/>
  <c r="Z200" i="1"/>
  <c r="AA200" i="1" s="1"/>
  <c r="U200" i="1"/>
  <c r="V200" i="1" s="1"/>
  <c r="P200" i="1"/>
  <c r="Q200" i="1" s="1"/>
  <c r="K200" i="1"/>
  <c r="H200" i="1"/>
  <c r="G199" i="1"/>
  <c r="Z199" i="1" s="1"/>
  <c r="AA199" i="1" s="1"/>
  <c r="G198" i="1"/>
  <c r="K198" i="1" s="1"/>
  <c r="X197" i="1"/>
  <c r="W197" i="1"/>
  <c r="T197" i="1"/>
  <c r="S197" i="1"/>
  <c r="O197" i="1"/>
  <c r="N197" i="1"/>
  <c r="M197" i="1"/>
  <c r="L197" i="1"/>
  <c r="J197" i="1"/>
  <c r="I197" i="1"/>
  <c r="Z196" i="1"/>
  <c r="AA196" i="1" s="1"/>
  <c r="U196" i="1"/>
  <c r="V196" i="1" s="1"/>
  <c r="P196" i="1"/>
  <c r="R196" i="1" s="1"/>
  <c r="K196" i="1"/>
  <c r="H196" i="1"/>
  <c r="G195" i="1"/>
  <c r="Z195" i="1" s="1"/>
  <c r="AA195" i="1" s="1"/>
  <c r="G194" i="1"/>
  <c r="G193" i="1"/>
  <c r="K193" i="1" s="1"/>
  <c r="G192" i="1"/>
  <c r="Z192" i="1" s="1"/>
  <c r="AA192" i="1" s="1"/>
  <c r="G191" i="1"/>
  <c r="Z191" i="1" s="1"/>
  <c r="AA191" i="1" s="1"/>
  <c r="G190" i="1"/>
  <c r="P190" i="1" s="1"/>
  <c r="R190" i="1" s="1"/>
  <c r="G189" i="1"/>
  <c r="P189" i="1" s="1"/>
  <c r="G188" i="1"/>
  <c r="G187" i="1"/>
  <c r="Z187" i="1" s="1"/>
  <c r="AA187" i="1" s="1"/>
  <c r="G186" i="1"/>
  <c r="Z186" i="1" s="1"/>
  <c r="AA186" i="1" s="1"/>
  <c r="G185" i="1"/>
  <c r="K185" i="1" s="1"/>
  <c r="G184" i="1"/>
  <c r="Z184" i="1" s="1"/>
  <c r="AA184" i="1" s="1"/>
  <c r="Z183" i="1"/>
  <c r="AA183" i="1" s="1"/>
  <c r="U183" i="1"/>
  <c r="V183" i="1" s="1"/>
  <c r="P183" i="1"/>
  <c r="K183" i="1"/>
  <c r="H183" i="1"/>
  <c r="G182" i="1"/>
  <c r="Z182" i="1" s="1"/>
  <c r="AA182" i="1" s="1"/>
  <c r="G181" i="1"/>
  <c r="P181" i="1" s="1"/>
  <c r="R181" i="1" s="1"/>
  <c r="G180" i="1"/>
  <c r="Z180" i="1" s="1"/>
  <c r="AA180" i="1" s="1"/>
  <c r="G179" i="1"/>
  <c r="P179" i="1" s="1"/>
  <c r="G178" i="1"/>
  <c r="X177" i="1"/>
  <c r="W177" i="1"/>
  <c r="T177" i="1"/>
  <c r="S177" i="1"/>
  <c r="Q177" i="1"/>
  <c r="O177" i="1"/>
  <c r="N177" i="1"/>
  <c r="M177" i="1"/>
  <c r="L177" i="1"/>
  <c r="J177" i="1"/>
  <c r="I177" i="1"/>
  <c r="G177" i="1"/>
  <c r="Z176" i="1"/>
  <c r="U176" i="1"/>
  <c r="U177" i="1" s="1"/>
  <c r="P176" i="1"/>
  <c r="R176" i="1" s="1"/>
  <c r="R177" i="1" s="1"/>
  <c r="K176" i="1"/>
  <c r="K177" i="1" s="1"/>
  <c r="H176" i="1"/>
  <c r="H177" i="1" s="1"/>
  <c r="X174" i="1"/>
  <c r="W174" i="1"/>
  <c r="T174" i="1"/>
  <c r="S174" i="1"/>
  <c r="Q174" i="1"/>
  <c r="O174" i="1"/>
  <c r="N174" i="1"/>
  <c r="M174" i="1"/>
  <c r="L174" i="1"/>
  <c r="J174" i="1"/>
  <c r="I174" i="1"/>
  <c r="G173" i="1"/>
  <c r="H173" i="1" s="1"/>
  <c r="Z172" i="1"/>
  <c r="AA172" i="1" s="1"/>
  <c r="U172" i="1"/>
  <c r="V172" i="1" s="1"/>
  <c r="P172" i="1"/>
  <c r="R172" i="1" s="1"/>
  <c r="K172" i="1"/>
  <c r="H172" i="1"/>
  <c r="G171" i="1"/>
  <c r="P171" i="1" s="1"/>
  <c r="Z170" i="1"/>
  <c r="AA170" i="1" s="1"/>
  <c r="U170" i="1"/>
  <c r="P170" i="1"/>
  <c r="R170" i="1" s="1"/>
  <c r="K170" i="1"/>
  <c r="H170" i="1"/>
  <c r="O169" i="1"/>
  <c r="N169" i="1"/>
  <c r="M169" i="1"/>
  <c r="L169" i="1"/>
  <c r="J169" i="1"/>
  <c r="I169" i="1"/>
  <c r="G168" i="1"/>
  <c r="Z167" i="1"/>
  <c r="AA167" i="1" s="1"/>
  <c r="U167" i="1"/>
  <c r="V167" i="1" s="1"/>
  <c r="P167" i="1"/>
  <c r="Y167" i="1" s="1"/>
  <c r="K167" i="1"/>
  <c r="H167" i="1"/>
  <c r="G166" i="1"/>
  <c r="G165" i="1"/>
  <c r="Z164" i="1"/>
  <c r="AA164" i="1" s="1"/>
  <c r="U164" i="1"/>
  <c r="V164" i="1" s="1"/>
  <c r="P164" i="1"/>
  <c r="R164" i="1" s="1"/>
  <c r="K164" i="1"/>
  <c r="H164" i="1"/>
  <c r="G163" i="1"/>
  <c r="Z163" i="1" s="1"/>
  <c r="AA163" i="1" s="1"/>
  <c r="G162" i="1"/>
  <c r="G161" i="1"/>
  <c r="P161" i="1" s="1"/>
  <c r="Z160" i="1"/>
  <c r="AA160" i="1" s="1"/>
  <c r="U160" i="1"/>
  <c r="V160" i="1" s="1"/>
  <c r="P160" i="1"/>
  <c r="R160" i="1" s="1"/>
  <c r="K160" i="1"/>
  <c r="H160" i="1"/>
  <c r="Z159" i="1"/>
  <c r="AA159" i="1" s="1"/>
  <c r="U159" i="1"/>
  <c r="V159" i="1" s="1"/>
  <c r="G159" i="1"/>
  <c r="H159" i="1" s="1"/>
  <c r="X158" i="1"/>
  <c r="T158" i="1"/>
  <c r="S158" i="1"/>
  <c r="N158" i="1"/>
  <c r="L158" i="1"/>
  <c r="I158" i="1"/>
  <c r="Z157" i="1"/>
  <c r="AA157" i="1" s="1"/>
  <c r="U157" i="1"/>
  <c r="V157" i="1" s="1"/>
  <c r="P157" i="1"/>
  <c r="K157" i="1"/>
  <c r="H157" i="1"/>
  <c r="Z156" i="1"/>
  <c r="AA156" i="1" s="1"/>
  <c r="U156" i="1"/>
  <c r="V156" i="1" s="1"/>
  <c r="P156" i="1"/>
  <c r="K156" i="1"/>
  <c r="H156" i="1"/>
  <c r="G155" i="1"/>
  <c r="H155" i="1" s="1"/>
  <c r="G154" i="1"/>
  <c r="P154" i="1" s="1"/>
  <c r="R154" i="1" s="1"/>
  <c r="Z153" i="1"/>
  <c r="AA153" i="1" s="1"/>
  <c r="U153" i="1"/>
  <c r="V153" i="1" s="1"/>
  <c r="P153" i="1"/>
  <c r="K153" i="1"/>
  <c r="H153" i="1"/>
  <c r="G152" i="1"/>
  <c r="W152" i="1" s="1"/>
  <c r="W158" i="1" s="1"/>
  <c r="G151" i="1"/>
  <c r="P151" i="1" s="1"/>
  <c r="G150" i="1"/>
  <c r="U150" i="1" s="1"/>
  <c r="V150" i="1" s="1"/>
  <c r="G149" i="1"/>
  <c r="H149" i="1" s="1"/>
  <c r="X147" i="1"/>
  <c r="W147" i="1"/>
  <c r="T147" i="1"/>
  <c r="S147" i="1"/>
  <c r="O147" i="1"/>
  <c r="N147" i="1"/>
  <c r="M147" i="1"/>
  <c r="L147" i="1"/>
  <c r="J147" i="1"/>
  <c r="I147" i="1"/>
  <c r="G146" i="1"/>
  <c r="Z146" i="1" s="1"/>
  <c r="AA146" i="1" s="1"/>
  <c r="G145" i="1"/>
  <c r="Z145" i="1" s="1"/>
  <c r="AA145" i="1" s="1"/>
  <c r="Z144" i="1"/>
  <c r="AA144" i="1" s="1"/>
  <c r="U144" i="1"/>
  <c r="V144" i="1" s="1"/>
  <c r="G144" i="1"/>
  <c r="P144" i="1" s="1"/>
  <c r="X143" i="1"/>
  <c r="W143" i="1"/>
  <c r="T143" i="1"/>
  <c r="S143" i="1"/>
  <c r="O143" i="1"/>
  <c r="N143" i="1"/>
  <c r="M143" i="1"/>
  <c r="L143" i="1"/>
  <c r="J143" i="1"/>
  <c r="I143" i="1"/>
  <c r="G142" i="1"/>
  <c r="P142" i="1" s="1"/>
  <c r="R142" i="1" s="1"/>
  <c r="G141" i="1"/>
  <c r="U141" i="1" s="1"/>
  <c r="V141" i="1" s="1"/>
  <c r="G140" i="1"/>
  <c r="H140" i="1" s="1"/>
  <c r="AA139" i="1"/>
  <c r="V139" i="1"/>
  <c r="P139" i="1"/>
  <c r="K139" i="1"/>
  <c r="H139" i="1"/>
  <c r="AQ138" i="1"/>
  <c r="AP138" i="1"/>
  <c r="AO138" i="1"/>
  <c r="AN138" i="1"/>
  <c r="AM138" i="1"/>
  <c r="AL138" i="1"/>
  <c r="AK138" i="1"/>
  <c r="AH138" i="1"/>
  <c r="AF138" i="1"/>
  <c r="AC138" i="1"/>
  <c r="X138" i="1"/>
  <c r="W138" i="1"/>
  <c r="T138" i="1"/>
  <c r="S138" i="1"/>
  <c r="N138" i="1"/>
  <c r="M138" i="1"/>
  <c r="L138" i="1"/>
  <c r="J138" i="1"/>
  <c r="I138" i="1"/>
  <c r="Z137" i="1"/>
  <c r="AA137" i="1" s="1"/>
  <c r="U137" i="1"/>
  <c r="V137" i="1" s="1"/>
  <c r="P137" i="1"/>
  <c r="K137" i="1"/>
  <c r="H137" i="1"/>
  <c r="Z136" i="1"/>
  <c r="AA136" i="1" s="1"/>
  <c r="U136" i="1"/>
  <c r="V136" i="1" s="1"/>
  <c r="P136" i="1"/>
  <c r="K136" i="1"/>
  <c r="H136" i="1"/>
  <c r="AB135" i="1"/>
  <c r="AJ135" i="1" s="1"/>
  <c r="Z135" i="1"/>
  <c r="AA135" i="1" s="1"/>
  <c r="U135" i="1"/>
  <c r="V135" i="1" s="1"/>
  <c r="P135" i="1"/>
  <c r="K135" i="1"/>
  <c r="H135" i="1"/>
  <c r="Z134" i="1"/>
  <c r="AA134" i="1" s="1"/>
  <c r="U134" i="1"/>
  <c r="V134" i="1" s="1"/>
  <c r="P134" i="1"/>
  <c r="K134" i="1"/>
  <c r="H134" i="1"/>
  <c r="G133" i="1"/>
  <c r="Z133" i="1" s="1"/>
  <c r="AA133" i="1" s="1"/>
  <c r="Z132" i="1"/>
  <c r="AA132" i="1" s="1"/>
  <c r="U132" i="1"/>
  <c r="V132" i="1" s="1"/>
  <c r="P132" i="1"/>
  <c r="K132" i="1"/>
  <c r="H132" i="1"/>
  <c r="G131" i="1"/>
  <c r="P131" i="1" s="1"/>
  <c r="G130" i="1"/>
  <c r="P130" i="1" s="1"/>
  <c r="Q130" i="1" s="1"/>
  <c r="G129" i="1"/>
  <c r="Z129" i="1" s="1"/>
  <c r="AA129" i="1" s="1"/>
  <c r="G128" i="1"/>
  <c r="U128" i="1" s="1"/>
  <c r="V128" i="1" s="1"/>
  <c r="G127" i="1"/>
  <c r="Z127" i="1" s="1"/>
  <c r="AA127" i="1" s="1"/>
  <c r="G126" i="1"/>
  <c r="U126" i="1" s="1"/>
  <c r="V126" i="1" s="1"/>
  <c r="Z125" i="1"/>
  <c r="U125" i="1"/>
  <c r="P125" i="1"/>
  <c r="K125" i="1"/>
  <c r="H125" i="1"/>
  <c r="AQ124" i="1"/>
  <c r="AP124" i="1"/>
  <c r="AO124" i="1"/>
  <c r="AN124" i="1"/>
  <c r="AN148" i="1" s="1"/>
  <c r="AM124" i="1"/>
  <c r="AL124" i="1"/>
  <c r="AK124" i="1"/>
  <c r="AJ124" i="1"/>
  <c r="AI124" i="1"/>
  <c r="AH124" i="1"/>
  <c r="AG124" i="1"/>
  <c r="AF124" i="1"/>
  <c r="AF148" i="1" s="1"/>
  <c r="AE124" i="1"/>
  <c r="AD124" i="1"/>
  <c r="AC124" i="1"/>
  <c r="AB124" i="1"/>
  <c r="X124" i="1"/>
  <c r="W124" i="1"/>
  <c r="T124" i="1"/>
  <c r="S124" i="1"/>
  <c r="N124" i="1"/>
  <c r="M124" i="1"/>
  <c r="L124" i="1"/>
  <c r="J124" i="1"/>
  <c r="I124" i="1"/>
  <c r="G123" i="1"/>
  <c r="G122" i="1"/>
  <c r="Z122" i="1" s="1"/>
  <c r="AA122" i="1" s="1"/>
  <c r="G121" i="1"/>
  <c r="G120" i="1"/>
  <c r="U120" i="1" s="1"/>
  <c r="V120" i="1" s="1"/>
  <c r="G119" i="1"/>
  <c r="Z119" i="1" s="1"/>
  <c r="AA119" i="1" s="1"/>
  <c r="G118" i="1"/>
  <c r="P118" i="1" s="1"/>
  <c r="G117" i="1"/>
  <c r="G116" i="1"/>
  <c r="Z116" i="1" s="1"/>
  <c r="AA116" i="1" s="1"/>
  <c r="G115" i="1"/>
  <c r="P115" i="1" s="1"/>
  <c r="G114" i="1"/>
  <c r="Z114" i="1" s="1"/>
  <c r="AA114" i="1" s="1"/>
  <c r="G113" i="1"/>
  <c r="Z113" i="1" s="1"/>
  <c r="AA113" i="1" s="1"/>
  <c r="G112" i="1"/>
  <c r="Z112" i="1" s="1"/>
  <c r="AA112" i="1" s="1"/>
  <c r="G111" i="1"/>
  <c r="Z111" i="1" s="1"/>
  <c r="AA111" i="1" s="1"/>
  <c r="G110" i="1"/>
  <c r="P110" i="1" s="1"/>
  <c r="G109" i="1"/>
  <c r="Z109" i="1" s="1"/>
  <c r="AA109" i="1" s="1"/>
  <c r="Z108" i="1"/>
  <c r="AA108" i="1" s="1"/>
  <c r="U108" i="1"/>
  <c r="P108" i="1"/>
  <c r="R108" i="1" s="1"/>
  <c r="K108" i="1"/>
  <c r="H108" i="1"/>
  <c r="G107" i="1"/>
  <c r="P107" i="1" s="1"/>
  <c r="R107" i="1" s="1"/>
  <c r="G106" i="1"/>
  <c r="K106" i="1" s="1"/>
  <c r="AA105" i="1"/>
  <c r="U105" i="1"/>
  <c r="P105" i="1"/>
  <c r="R105" i="1" s="1"/>
  <c r="K105" i="1"/>
  <c r="H105" i="1"/>
  <c r="X104" i="1"/>
  <c r="W104" i="1"/>
  <c r="T104" i="1"/>
  <c r="S104" i="1"/>
  <c r="O104" i="1"/>
  <c r="N104" i="1"/>
  <c r="M104" i="1"/>
  <c r="L104" i="1"/>
  <c r="J104" i="1"/>
  <c r="I104" i="1"/>
  <c r="G103" i="1"/>
  <c r="Z103" i="1" s="1"/>
  <c r="AA103" i="1" s="1"/>
  <c r="G102" i="1"/>
  <c r="Z102" i="1" s="1"/>
  <c r="AA102" i="1" s="1"/>
  <c r="G101" i="1"/>
  <c r="Z101" i="1" s="1"/>
  <c r="AA101" i="1" s="1"/>
  <c r="G100" i="1"/>
  <c r="Z100" i="1" s="1"/>
  <c r="AA100" i="1" s="1"/>
  <c r="G99" i="1"/>
  <c r="P99" i="1" s="1"/>
  <c r="Q99" i="1" s="1"/>
  <c r="AA98" i="1"/>
  <c r="V98" i="1"/>
  <c r="P98" i="1"/>
  <c r="Y98" i="1" s="1"/>
  <c r="K98" i="1"/>
  <c r="H98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X96" i="1"/>
  <c r="T96" i="1"/>
  <c r="S96" i="1"/>
  <c r="O96" i="1"/>
  <c r="N96" i="1"/>
  <c r="M96" i="1"/>
  <c r="L96" i="1"/>
  <c r="J96" i="1"/>
  <c r="I96" i="1"/>
  <c r="G95" i="1"/>
  <c r="Z95" i="1" s="1"/>
  <c r="AA95" i="1" s="1"/>
  <c r="G94" i="1"/>
  <c r="K94" i="1" s="1"/>
  <c r="G93" i="1"/>
  <c r="U93" i="1" s="1"/>
  <c r="V93" i="1" s="1"/>
  <c r="G92" i="1"/>
  <c r="H92" i="1" s="1"/>
  <c r="X91" i="1"/>
  <c r="W91" i="1"/>
  <c r="T91" i="1"/>
  <c r="S91" i="1"/>
  <c r="Q91" i="1"/>
  <c r="N91" i="1"/>
  <c r="L91" i="1"/>
  <c r="I91" i="1"/>
  <c r="G90" i="1"/>
  <c r="G89" i="1"/>
  <c r="H89" i="1" s="1"/>
  <c r="Z88" i="1"/>
  <c r="U88" i="1"/>
  <c r="V88" i="1" s="1"/>
  <c r="P88" i="1"/>
  <c r="R88" i="1" s="1"/>
  <c r="K88" i="1"/>
  <c r="H88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X87" i="1"/>
  <c r="W87" i="1"/>
  <c r="T87" i="1"/>
  <c r="S87" i="1"/>
  <c r="O87" i="1"/>
  <c r="N87" i="1"/>
  <c r="M87" i="1"/>
  <c r="L87" i="1"/>
  <c r="J87" i="1"/>
  <c r="I87" i="1"/>
  <c r="G86" i="1"/>
  <c r="Z86" i="1" s="1"/>
  <c r="AA86" i="1" s="1"/>
  <c r="G85" i="1"/>
  <c r="Z85" i="1" s="1"/>
  <c r="AA85" i="1" s="1"/>
  <c r="G84" i="1"/>
  <c r="Z84" i="1" s="1"/>
  <c r="AA84" i="1" s="1"/>
  <c r="G83" i="1"/>
  <c r="Z83" i="1" s="1"/>
  <c r="AA83" i="1" s="1"/>
  <c r="G82" i="1"/>
  <c r="U82" i="1" s="1"/>
  <c r="V82" i="1" s="1"/>
  <c r="G81" i="1"/>
  <c r="H81" i="1" s="1"/>
  <c r="G80" i="1"/>
  <c r="G79" i="1"/>
  <c r="G78" i="1"/>
  <c r="H78" i="1" s="1"/>
  <c r="G77" i="1"/>
  <c r="Z77" i="1" s="1"/>
  <c r="AA77" i="1" s="1"/>
  <c r="Z76" i="1"/>
  <c r="AA76" i="1" s="1"/>
  <c r="U76" i="1"/>
  <c r="V76" i="1" s="1"/>
  <c r="P76" i="1"/>
  <c r="R76" i="1" s="1"/>
  <c r="K76" i="1"/>
  <c r="H76" i="1"/>
  <c r="G75" i="1"/>
  <c r="P75" i="1" s="1"/>
  <c r="Q75" i="1" s="1"/>
  <c r="X74" i="1"/>
  <c r="W74" i="1"/>
  <c r="T74" i="1"/>
  <c r="S74" i="1"/>
  <c r="O74" i="1"/>
  <c r="N74" i="1"/>
  <c r="M74" i="1"/>
  <c r="L74" i="1"/>
  <c r="I74" i="1"/>
  <c r="Z73" i="1"/>
  <c r="AA73" i="1" s="1"/>
  <c r="U73" i="1"/>
  <c r="P73" i="1"/>
  <c r="Q73" i="1" s="1"/>
  <c r="Q74" i="1" s="1"/>
  <c r="K73" i="1"/>
  <c r="H73" i="1"/>
  <c r="G72" i="1"/>
  <c r="P72" i="1" s="1"/>
  <c r="G71" i="1"/>
  <c r="U71" i="1" s="1"/>
  <c r="V71" i="1" s="1"/>
  <c r="Z70" i="1"/>
  <c r="AA70" i="1" s="1"/>
  <c r="U70" i="1"/>
  <c r="V70" i="1" s="1"/>
  <c r="P70" i="1"/>
  <c r="R70" i="1" s="1"/>
  <c r="K70" i="1"/>
  <c r="H70" i="1"/>
  <c r="X69" i="1"/>
  <c r="W69" i="1"/>
  <c r="T69" i="1"/>
  <c r="S69" i="1"/>
  <c r="Q69" i="1"/>
  <c r="N69" i="1"/>
  <c r="L69" i="1"/>
  <c r="I69" i="1"/>
  <c r="Z68" i="1"/>
  <c r="AA68" i="1" s="1"/>
  <c r="U68" i="1"/>
  <c r="V68" i="1" s="1"/>
  <c r="P68" i="1"/>
  <c r="R68" i="1" s="1"/>
  <c r="K68" i="1"/>
  <c r="H68" i="1"/>
  <c r="Z67" i="1"/>
  <c r="AA67" i="1" s="1"/>
  <c r="U67" i="1"/>
  <c r="V67" i="1" s="1"/>
  <c r="P67" i="1"/>
  <c r="R67" i="1" s="1"/>
  <c r="K67" i="1"/>
  <c r="H67" i="1"/>
  <c r="Z66" i="1"/>
  <c r="AA66" i="1" s="1"/>
  <c r="U66" i="1"/>
  <c r="V66" i="1" s="1"/>
  <c r="G66" i="1"/>
  <c r="P66" i="1" s="1"/>
  <c r="X65" i="1"/>
  <c r="W65" i="1"/>
  <c r="T65" i="1"/>
  <c r="S65" i="1"/>
  <c r="Q65" i="1"/>
  <c r="N65" i="1"/>
  <c r="L65" i="1"/>
  <c r="I65" i="1"/>
  <c r="Z64" i="1"/>
  <c r="AA64" i="1" s="1"/>
  <c r="U64" i="1"/>
  <c r="V64" i="1" s="1"/>
  <c r="P64" i="1"/>
  <c r="R64" i="1" s="1"/>
  <c r="K64" i="1"/>
  <c r="H64" i="1"/>
  <c r="Z63" i="1"/>
  <c r="U63" i="1"/>
  <c r="V63" i="1" s="1"/>
  <c r="P63" i="1"/>
  <c r="R63" i="1" s="1"/>
  <c r="K63" i="1"/>
  <c r="H63" i="1"/>
  <c r="Z62" i="1"/>
  <c r="AA62" i="1" s="1"/>
  <c r="U62" i="1"/>
  <c r="V62" i="1" s="1"/>
  <c r="G62" i="1"/>
  <c r="H62" i="1" s="1"/>
  <c r="X61" i="1"/>
  <c r="T61" i="1"/>
  <c r="S61" i="1"/>
  <c r="N61" i="1"/>
  <c r="L61" i="1"/>
  <c r="I61" i="1"/>
  <c r="G61" i="1"/>
  <c r="Z60" i="1"/>
  <c r="AA60" i="1" s="1"/>
  <c r="U60" i="1"/>
  <c r="V60" i="1" s="1"/>
  <c r="P60" i="1"/>
  <c r="K60" i="1"/>
  <c r="H60" i="1"/>
  <c r="Z59" i="1"/>
  <c r="AA59" i="1" s="1"/>
  <c r="U59" i="1"/>
  <c r="V59" i="1" s="1"/>
  <c r="P59" i="1"/>
  <c r="P61" i="1" s="1"/>
  <c r="M61" i="1"/>
  <c r="K59" i="1"/>
  <c r="H59" i="1"/>
  <c r="X58" i="1"/>
  <c r="T58" i="1"/>
  <c r="S58" i="1"/>
  <c r="N58" i="1"/>
  <c r="L58" i="1"/>
  <c r="I58" i="1"/>
  <c r="Z57" i="1"/>
  <c r="AA57" i="1" s="1"/>
  <c r="U57" i="1"/>
  <c r="V57" i="1" s="1"/>
  <c r="P57" i="1"/>
  <c r="R57" i="1" s="1"/>
  <c r="R58" i="1" s="1"/>
  <c r="K57" i="1"/>
  <c r="H57" i="1"/>
  <c r="Z56" i="1"/>
  <c r="AA56" i="1" s="1"/>
  <c r="U56" i="1"/>
  <c r="M58" i="1"/>
  <c r="J58" i="1"/>
  <c r="G56" i="1"/>
  <c r="X55" i="1"/>
  <c r="T55" i="1"/>
  <c r="S55" i="1"/>
  <c r="R55" i="1"/>
  <c r="N55" i="1"/>
  <c r="L55" i="1"/>
  <c r="I55" i="1"/>
  <c r="G54" i="1"/>
  <c r="H54" i="1" s="1"/>
  <c r="G53" i="1"/>
  <c r="Z53" i="1" s="1"/>
  <c r="AA53" i="1" s="1"/>
  <c r="G52" i="1"/>
  <c r="T51" i="1"/>
  <c r="S51" i="1"/>
  <c r="Q51" i="1"/>
  <c r="N51" i="1"/>
  <c r="L51" i="1"/>
  <c r="I51" i="1"/>
  <c r="G50" i="1"/>
  <c r="P50" i="1" s="1"/>
  <c r="X49" i="1"/>
  <c r="W49" i="1"/>
  <c r="T49" i="1"/>
  <c r="S49" i="1"/>
  <c r="N49" i="1"/>
  <c r="L49" i="1"/>
  <c r="I49" i="1"/>
  <c r="G48" i="1"/>
  <c r="Z48" i="1" s="1"/>
  <c r="AA48" i="1" s="1"/>
  <c r="Z47" i="1"/>
  <c r="AA47" i="1" s="1"/>
  <c r="U47" i="1"/>
  <c r="V47" i="1" s="1"/>
  <c r="P47" i="1"/>
  <c r="Q47" i="1" s="1"/>
  <c r="K47" i="1"/>
  <c r="H47" i="1"/>
  <c r="G46" i="1"/>
  <c r="Z46" i="1" s="1"/>
  <c r="AA46" i="1" s="1"/>
  <c r="G45" i="1"/>
  <c r="Z45" i="1" s="1"/>
  <c r="T44" i="1"/>
  <c r="S44" i="1"/>
  <c r="N44" i="1"/>
  <c r="L44" i="1"/>
  <c r="I44" i="1"/>
  <c r="Z43" i="1"/>
  <c r="AA43" i="1" s="1"/>
  <c r="U43" i="1"/>
  <c r="V43" i="1" s="1"/>
  <c r="P43" i="1"/>
  <c r="K43" i="1"/>
  <c r="H43" i="1"/>
  <c r="G42" i="1"/>
  <c r="P42" i="1" s="1"/>
  <c r="AC41" i="1"/>
  <c r="T41" i="1"/>
  <c r="S41" i="1"/>
  <c r="R41" i="1"/>
  <c r="N41" i="1"/>
  <c r="M41" i="1"/>
  <c r="L41" i="1"/>
  <c r="I41" i="1"/>
  <c r="G40" i="1"/>
  <c r="Z40" i="1" s="1"/>
  <c r="AA40" i="1" s="1"/>
  <c r="U39" i="1"/>
  <c r="V39" i="1" s="1"/>
  <c r="G39" i="1"/>
  <c r="Z39" i="1" s="1"/>
  <c r="AA39" i="1" s="1"/>
  <c r="AB38" i="1"/>
  <c r="AJ38" i="1" s="1"/>
  <c r="Z38" i="1"/>
  <c r="AA38" i="1" s="1"/>
  <c r="U38" i="1"/>
  <c r="P38" i="1"/>
  <c r="Q38" i="1" s="1"/>
  <c r="K38" i="1"/>
  <c r="H38" i="1"/>
  <c r="Z36" i="1"/>
  <c r="AA36" i="1" s="1"/>
  <c r="AA37" i="1" s="1"/>
  <c r="U36" i="1"/>
  <c r="V36" i="1" s="1"/>
  <c r="V37" i="1" s="1"/>
  <c r="P36" i="1"/>
  <c r="R36" i="1" s="1"/>
  <c r="R37" i="1" s="1"/>
  <c r="K36" i="1"/>
  <c r="K37" i="1" s="1"/>
  <c r="H36" i="1"/>
  <c r="H37" i="1" s="1"/>
  <c r="G34" i="1"/>
  <c r="H34" i="1" s="1"/>
  <c r="Z33" i="1"/>
  <c r="AA33" i="1" s="1"/>
  <c r="U33" i="1"/>
  <c r="V33" i="1" s="1"/>
  <c r="P33" i="1"/>
  <c r="R33" i="1" s="1"/>
  <c r="R35" i="1" s="1"/>
  <c r="K33" i="1"/>
  <c r="H33" i="1"/>
  <c r="S32" i="1"/>
  <c r="R32" i="1"/>
  <c r="N32" i="1"/>
  <c r="L32" i="1"/>
  <c r="I32" i="1"/>
  <c r="G31" i="1"/>
  <c r="U31" i="1" s="1"/>
  <c r="X30" i="1"/>
  <c r="W30" i="1"/>
  <c r="T30" i="1"/>
  <c r="S30" i="1"/>
  <c r="R30" i="1"/>
  <c r="O30" i="1"/>
  <c r="N30" i="1"/>
  <c r="M30" i="1"/>
  <c r="L30" i="1"/>
  <c r="J30" i="1"/>
  <c r="I30" i="1"/>
  <c r="G29" i="1"/>
  <c r="U29" i="1" s="1"/>
  <c r="G28" i="1"/>
  <c r="Z28" i="1" s="1"/>
  <c r="AA28" i="1" s="1"/>
  <c r="Z27" i="1"/>
  <c r="AA27" i="1" s="1"/>
  <c r="U27" i="1"/>
  <c r="P27" i="1"/>
  <c r="Q27" i="1" s="1"/>
  <c r="K27" i="1"/>
  <c r="H27" i="1"/>
  <c r="T26" i="1"/>
  <c r="S26" i="1"/>
  <c r="N26" i="1"/>
  <c r="M26" i="1"/>
  <c r="L26" i="1"/>
  <c r="J26" i="1"/>
  <c r="I26" i="1"/>
  <c r="G25" i="1"/>
  <c r="H25" i="1" s="1"/>
  <c r="Z24" i="1"/>
  <c r="AA24" i="1" s="1"/>
  <c r="U24" i="1"/>
  <c r="V24" i="1" s="1"/>
  <c r="P24" i="1"/>
  <c r="Q24" i="1" s="1"/>
  <c r="K24" i="1"/>
  <c r="H24" i="1"/>
  <c r="Z23" i="1"/>
  <c r="U23" i="1"/>
  <c r="V23" i="1" s="1"/>
  <c r="P23" i="1"/>
  <c r="R23" i="1" s="1"/>
  <c r="R26" i="1" s="1"/>
  <c r="K23" i="1"/>
  <c r="H23" i="1"/>
  <c r="A23" i="1"/>
  <c r="A24" i="1" s="1"/>
  <c r="A25" i="1" s="1"/>
  <c r="A27" i="1" s="1"/>
  <c r="A28" i="1" s="1"/>
  <c r="A29" i="1" s="1"/>
  <c r="A31" i="1" s="1"/>
  <c r="A33" i="1" s="1"/>
  <c r="A34" i="1" s="1"/>
  <c r="A36" i="1" s="1"/>
  <c r="A38" i="1" s="1"/>
  <c r="A39" i="1" s="1"/>
  <c r="A40" i="1" s="1"/>
  <c r="A42" i="1" s="1"/>
  <c r="A43" i="1" s="1"/>
  <c r="A45" i="1" s="1"/>
  <c r="A46" i="1" s="1"/>
  <c r="A47" i="1" s="1"/>
  <c r="A48" i="1" s="1"/>
  <c r="A50" i="1" s="1"/>
  <c r="A52" i="1" s="1"/>
  <c r="A53" i="1" s="1"/>
  <c r="A54" i="1" s="1"/>
  <c r="A56" i="1" s="1"/>
  <c r="A57" i="1" s="1"/>
  <c r="A59" i="1" s="1"/>
  <c r="A60" i="1" s="1"/>
  <c r="A62" i="1" s="1"/>
  <c r="A63" i="1" s="1"/>
  <c r="A64" i="1" s="1"/>
  <c r="A66" i="1" s="1"/>
  <c r="A67" i="1" s="1"/>
  <c r="A68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2" i="1" s="1"/>
  <c r="A93" i="1" s="1"/>
  <c r="A94" i="1" s="1"/>
  <c r="A95" i="1" s="1"/>
  <c r="A98" i="1" s="1"/>
  <c r="A99" i="1" s="1"/>
  <c r="A100" i="1" s="1"/>
  <c r="A101" i="1" s="1"/>
  <c r="A102" i="1" s="1"/>
  <c r="A103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9" i="1" s="1"/>
  <c r="A150" i="1" s="1"/>
  <c r="A151" i="1" s="1"/>
  <c r="A152" i="1" s="1"/>
  <c r="A153" i="1" s="1"/>
  <c r="A154" i="1" s="1"/>
  <c r="A155" i="1" s="1"/>
  <c r="A156" i="1" s="1"/>
  <c r="A157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70" i="1" s="1"/>
  <c r="A171" i="1" s="1"/>
  <c r="A172" i="1" s="1"/>
  <c r="A173" i="1" s="1"/>
  <c r="A176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3" i="1" s="1"/>
  <c r="A204" i="1" s="1"/>
  <c r="A205" i="1" s="1"/>
  <c r="A206" i="1" s="1"/>
  <c r="A207" i="1" s="1"/>
  <c r="A208" i="1" s="1"/>
  <c r="A209" i="1" s="1"/>
  <c r="A210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9" i="1" s="1"/>
  <c r="A250" i="1" s="1"/>
  <c r="A251" i="1" s="1"/>
  <c r="A252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7" i="1" s="1"/>
  <c r="A328" i="1" s="1"/>
  <c r="A329" i="1" s="1"/>
  <c r="A330" i="1" s="1"/>
  <c r="A331" i="1" s="1"/>
  <c r="A332" i="1" s="1"/>
  <c r="A333" i="1" s="1"/>
  <c r="A334" i="1" s="1"/>
  <c r="A336" i="1" s="1"/>
  <c r="A337" i="1" s="1"/>
  <c r="A339" i="1" s="1"/>
  <c r="A340" i="1" s="1"/>
  <c r="A342" i="1" s="1"/>
  <c r="A343" i="1" s="1"/>
  <c r="A344" i="1" s="1"/>
  <c r="A345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A22" i="1"/>
  <c r="U22" i="1"/>
  <c r="V22" i="1" s="1"/>
  <c r="P22" i="1"/>
  <c r="Q22" i="1" s="1"/>
  <c r="K22" i="1"/>
  <c r="H22" i="1"/>
  <c r="AP21" i="1"/>
  <c r="AN21" i="1"/>
  <c r="AM21" i="1"/>
  <c r="AK21" i="1"/>
  <c r="Z21" i="1"/>
  <c r="U21" i="1"/>
  <c r="T21" i="1"/>
  <c r="S21" i="1"/>
  <c r="O21" i="1"/>
  <c r="K21" i="1"/>
  <c r="J21" i="1"/>
  <c r="AQ20" i="1"/>
  <c r="P20" i="1" s="1"/>
  <c r="AA20" i="1"/>
  <c r="V20" i="1"/>
  <c r="AQ19" i="1"/>
  <c r="P19" i="1" s="1"/>
  <c r="AA19" i="1"/>
  <c r="V19" i="1"/>
  <c r="AQ18" i="1"/>
  <c r="P18" i="1" s="1"/>
  <c r="Y18" i="1" s="1"/>
  <c r="AA18" i="1"/>
  <c r="V18" i="1"/>
  <c r="AQ17" i="1"/>
  <c r="P17" i="1" s="1"/>
  <c r="AA17" i="1"/>
  <c r="V17" i="1"/>
  <c r="AQ16" i="1"/>
  <c r="P16" i="1" s="1"/>
  <c r="AA16" i="1"/>
  <c r="V16" i="1"/>
  <c r="AQ15" i="1"/>
  <c r="P15" i="1" s="1"/>
  <c r="AA15" i="1"/>
  <c r="V15" i="1"/>
  <c r="AQ14" i="1"/>
  <c r="P14" i="1" s="1"/>
  <c r="AA14" i="1"/>
  <c r="V14" i="1"/>
  <c r="AQ13" i="1"/>
  <c r="P13" i="1" s="1"/>
  <c r="Y13" i="1" s="1"/>
  <c r="AA13" i="1"/>
  <c r="V13" i="1"/>
  <c r="AQ12" i="1"/>
  <c r="P12" i="1" s="1"/>
  <c r="AA12" i="1"/>
  <c r="V12" i="1"/>
  <c r="AQ11" i="1"/>
  <c r="P11" i="1" s="1"/>
  <c r="Y11" i="1" s="1"/>
  <c r="AA11" i="1"/>
  <c r="V11" i="1"/>
  <c r="AQ10" i="1"/>
  <c r="P10" i="1" s="1"/>
  <c r="Y10" i="1" s="1"/>
  <c r="AA10" i="1"/>
  <c r="V10" i="1"/>
  <c r="AQ9" i="1"/>
  <c r="P9" i="1" s="1"/>
  <c r="AA9" i="1"/>
  <c r="V9" i="1"/>
  <c r="AQ8" i="1"/>
  <c r="P8" i="1" s="1"/>
  <c r="AA8" i="1"/>
  <c r="V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Q7" i="1"/>
  <c r="AO7" i="1"/>
  <c r="AO21" i="1" s="1"/>
  <c r="AL7" i="1"/>
  <c r="AL21" i="1" s="1"/>
  <c r="AA7" i="1"/>
  <c r="V7" i="1"/>
  <c r="V65" i="1" l="1"/>
  <c r="K182" i="1"/>
  <c r="H61" i="1"/>
  <c r="H35" i="1"/>
  <c r="AB268" i="1"/>
  <c r="AE268" i="1" s="1"/>
  <c r="T148" i="1"/>
  <c r="AC148" i="1"/>
  <c r="U171" i="1"/>
  <c r="V171" i="1" s="1"/>
  <c r="U360" i="1"/>
  <c r="V360" i="1" s="1"/>
  <c r="K329" i="1"/>
  <c r="M175" i="1"/>
  <c r="AL97" i="1"/>
  <c r="AL365" i="1" s="1"/>
  <c r="H46" i="1"/>
  <c r="AP97" i="1"/>
  <c r="Y43" i="1"/>
  <c r="AM148" i="1"/>
  <c r="AQ148" i="1"/>
  <c r="O175" i="1"/>
  <c r="U250" i="1"/>
  <c r="V250" i="1" s="1"/>
  <c r="U268" i="1"/>
  <c r="V268" i="1" s="1"/>
  <c r="H331" i="1"/>
  <c r="H118" i="1"/>
  <c r="G55" i="1"/>
  <c r="AA61" i="1"/>
  <c r="P85" i="1"/>
  <c r="R85" i="1" s="1"/>
  <c r="AH148" i="1"/>
  <c r="Y205" i="1"/>
  <c r="Y209" i="1"/>
  <c r="H268" i="1"/>
  <c r="AB290" i="1"/>
  <c r="AD290" i="1" s="1"/>
  <c r="P71" i="1"/>
  <c r="R71" i="1" s="1"/>
  <c r="I148" i="1"/>
  <c r="P128" i="1"/>
  <c r="Y128" i="1" s="1"/>
  <c r="K140" i="1"/>
  <c r="H152" i="1"/>
  <c r="H201" i="1"/>
  <c r="K228" i="1"/>
  <c r="U280" i="1"/>
  <c r="V280" i="1" s="1"/>
  <c r="U37" i="1"/>
  <c r="Z58" i="1"/>
  <c r="X148" i="1"/>
  <c r="H222" i="1"/>
  <c r="K312" i="1"/>
  <c r="AA58" i="1"/>
  <c r="V61" i="1"/>
  <c r="H100" i="1"/>
  <c r="AB312" i="1"/>
  <c r="AG312" i="1" s="1"/>
  <c r="AE356" i="1"/>
  <c r="H86" i="1"/>
  <c r="AB262" i="1"/>
  <c r="AG262" i="1" s="1"/>
  <c r="P348" i="1"/>
  <c r="V21" i="1"/>
  <c r="P86" i="1"/>
  <c r="R86" i="1" s="1"/>
  <c r="K102" i="1"/>
  <c r="Y108" i="1"/>
  <c r="AO148" i="1"/>
  <c r="AB330" i="1"/>
  <c r="AG330" i="1" s="1"/>
  <c r="P349" i="1"/>
  <c r="Q349" i="1" s="1"/>
  <c r="H39" i="1"/>
  <c r="P62" i="1"/>
  <c r="Y62" i="1" s="1"/>
  <c r="H102" i="1"/>
  <c r="H128" i="1"/>
  <c r="K150" i="1"/>
  <c r="H228" i="1"/>
  <c r="K263" i="1"/>
  <c r="G35" i="1"/>
  <c r="K46" i="1"/>
  <c r="H48" i="1"/>
  <c r="H77" i="1"/>
  <c r="P102" i="1"/>
  <c r="Q102" i="1" s="1"/>
  <c r="H151" i="1"/>
  <c r="U182" i="1"/>
  <c r="V182" i="1" s="1"/>
  <c r="P228" i="1"/>
  <c r="H234" i="1"/>
  <c r="P251" i="1"/>
  <c r="R251" i="1" s="1"/>
  <c r="AE254" i="1"/>
  <c r="AI254" i="1" s="1"/>
  <c r="H287" i="1"/>
  <c r="H320" i="1"/>
  <c r="K331" i="1"/>
  <c r="K336" i="1"/>
  <c r="H342" i="1"/>
  <c r="U40" i="1"/>
  <c r="V40" i="1" s="1"/>
  <c r="U46" i="1"/>
  <c r="V46" i="1" s="1"/>
  <c r="U48" i="1"/>
  <c r="V48" i="1" s="1"/>
  <c r="U77" i="1"/>
  <c r="V77" i="1" s="1"/>
  <c r="P83" i="1"/>
  <c r="R83" i="1" s="1"/>
  <c r="U151" i="1"/>
  <c r="V151" i="1" s="1"/>
  <c r="U228" i="1"/>
  <c r="V228" i="1" s="1"/>
  <c r="U234" i="1"/>
  <c r="V234" i="1" s="1"/>
  <c r="H265" i="1"/>
  <c r="P331" i="1"/>
  <c r="Q331" i="1" s="1"/>
  <c r="AB336" i="1"/>
  <c r="AJ336" i="1" s="1"/>
  <c r="AO97" i="1"/>
  <c r="AO365" i="1" s="1"/>
  <c r="Y23" i="1"/>
  <c r="K86" i="1"/>
  <c r="H115" i="1"/>
  <c r="K226" i="1"/>
  <c r="AB265" i="1"/>
  <c r="P37" i="1"/>
  <c r="K101" i="1"/>
  <c r="U115" i="1"/>
  <c r="V115" i="1" s="1"/>
  <c r="U226" i="1"/>
  <c r="V226" i="1" s="1"/>
  <c r="AB329" i="1"/>
  <c r="AJ329" i="1" s="1"/>
  <c r="H332" i="1"/>
  <c r="K337" i="1"/>
  <c r="H347" i="1"/>
  <c r="U84" i="1"/>
  <c r="V84" i="1" s="1"/>
  <c r="U101" i="1"/>
  <c r="V101" i="1" s="1"/>
  <c r="J148" i="1"/>
  <c r="AP148" i="1"/>
  <c r="K152" i="1"/>
  <c r="H214" i="1"/>
  <c r="K257" i="1"/>
  <c r="H279" i="1"/>
  <c r="H284" i="1"/>
  <c r="Y293" i="1"/>
  <c r="K332" i="1"/>
  <c r="AB337" i="1"/>
  <c r="AJ337" i="1" s="1"/>
  <c r="Z37" i="1"/>
  <c r="H144" i="1"/>
  <c r="Y200" i="1"/>
  <c r="H237" i="1"/>
  <c r="AB257" i="1"/>
  <c r="AE257" i="1" s="1"/>
  <c r="H263" i="1"/>
  <c r="K279" i="1"/>
  <c r="AH97" i="1"/>
  <c r="Y19" i="1"/>
  <c r="Q19" i="1"/>
  <c r="K93" i="1"/>
  <c r="H45" i="1"/>
  <c r="H49" i="1" s="1"/>
  <c r="K53" i="1"/>
  <c r="Y73" i="1"/>
  <c r="P106" i="1"/>
  <c r="Q106" i="1" s="1"/>
  <c r="K116" i="1"/>
  <c r="K119" i="1"/>
  <c r="K126" i="1"/>
  <c r="K133" i="1"/>
  <c r="P198" i="1"/>
  <c r="Q198" i="1" s="1"/>
  <c r="H215" i="1"/>
  <c r="K220" i="1"/>
  <c r="U223" i="1"/>
  <c r="V223" i="1" s="1"/>
  <c r="U227" i="1"/>
  <c r="V227" i="1" s="1"/>
  <c r="W235" i="1"/>
  <c r="X235" i="1" s="1"/>
  <c r="K238" i="1"/>
  <c r="U249" i="1"/>
  <c r="K255" i="1"/>
  <c r="P279" i="1"/>
  <c r="H285" i="1"/>
  <c r="H292" i="1"/>
  <c r="AD294" i="1"/>
  <c r="AB313" i="1"/>
  <c r="AG313" i="1" s="1"/>
  <c r="Y356" i="1"/>
  <c r="H358" i="1"/>
  <c r="Y362" i="1"/>
  <c r="R11" i="1"/>
  <c r="G30" i="1"/>
  <c r="H106" i="1"/>
  <c r="AK97" i="1"/>
  <c r="AK365" i="1" s="1"/>
  <c r="AC97" i="1"/>
  <c r="G44" i="1"/>
  <c r="K71" i="1"/>
  <c r="U106" i="1"/>
  <c r="V106" i="1" s="1"/>
  <c r="P113" i="1"/>
  <c r="R113" i="1" s="1"/>
  <c r="P119" i="1"/>
  <c r="Z126" i="1"/>
  <c r="AA126" i="1" s="1"/>
  <c r="H129" i="1"/>
  <c r="U133" i="1"/>
  <c r="V133" i="1" s="1"/>
  <c r="U142" i="1"/>
  <c r="V142" i="1" s="1"/>
  <c r="N175" i="1"/>
  <c r="H171" i="1"/>
  <c r="H174" i="1" s="1"/>
  <c r="V176" i="1"/>
  <c r="V177" i="1" s="1"/>
  <c r="P186" i="1"/>
  <c r="R186" i="1" s="1"/>
  <c r="H191" i="1"/>
  <c r="P220" i="1"/>
  <c r="U231" i="1"/>
  <c r="AB255" i="1"/>
  <c r="U263" i="1"/>
  <c r="V263" i="1" s="1"/>
  <c r="H266" i="1"/>
  <c r="H269" i="1"/>
  <c r="U279" i="1"/>
  <c r="V279" i="1" s="1"/>
  <c r="AB281" i="1"/>
  <c r="AD281" i="1" s="1"/>
  <c r="K289" i="1"/>
  <c r="U292" i="1"/>
  <c r="V292" i="1" s="1"/>
  <c r="Z302" i="1"/>
  <c r="AA302" i="1" s="1"/>
  <c r="U318" i="1"/>
  <c r="V318" i="1" s="1"/>
  <c r="K330" i="1"/>
  <c r="K358" i="1"/>
  <c r="K25" i="1"/>
  <c r="K26" i="1" s="1"/>
  <c r="AF97" i="1"/>
  <c r="P109" i="1"/>
  <c r="Q109" i="1" s="1"/>
  <c r="U119" i="1"/>
  <c r="V119" i="1" s="1"/>
  <c r="K129" i="1"/>
  <c r="K145" i="1"/>
  <c r="Y156" i="1"/>
  <c r="K171" i="1"/>
  <c r="K199" i="1"/>
  <c r="P206" i="1"/>
  <c r="Q206" i="1" s="1"/>
  <c r="U220" i="1"/>
  <c r="V220" i="1" s="1"/>
  <c r="K266" i="1"/>
  <c r="U269" i="1"/>
  <c r="V269" i="1" s="1"/>
  <c r="H286" i="1"/>
  <c r="Z289" i="1"/>
  <c r="AA289" i="1" s="1"/>
  <c r="P347" i="1"/>
  <c r="R347" i="1" s="1"/>
  <c r="P352" i="1"/>
  <c r="Y352" i="1" s="1"/>
  <c r="AB358" i="1"/>
  <c r="AE358" i="1" s="1"/>
  <c r="H119" i="1"/>
  <c r="H142" i="1"/>
  <c r="Q167" i="1"/>
  <c r="AM97" i="1"/>
  <c r="P25" i="1"/>
  <c r="P26" i="1" s="1"/>
  <c r="K28" i="1"/>
  <c r="H42" i="1"/>
  <c r="H44" i="1" s="1"/>
  <c r="Y60" i="1"/>
  <c r="AK148" i="1"/>
  <c r="H127" i="1"/>
  <c r="P129" i="1"/>
  <c r="Y160" i="1"/>
  <c r="J175" i="1"/>
  <c r="K181" i="1"/>
  <c r="H236" i="1"/>
  <c r="K256" i="1"/>
  <c r="K264" i="1"/>
  <c r="P282" i="1"/>
  <c r="Y282" i="1" s="1"/>
  <c r="U286" i="1"/>
  <c r="V286" i="1" s="1"/>
  <c r="Y294" i="1"/>
  <c r="H298" i="1"/>
  <c r="H315" i="1"/>
  <c r="R13" i="1"/>
  <c r="K112" i="1"/>
  <c r="O97" i="1"/>
  <c r="AB25" i="1"/>
  <c r="AB26" i="1" s="1"/>
  <c r="U28" i="1"/>
  <c r="V28" i="1" s="1"/>
  <c r="P46" i="1"/>
  <c r="Q46" i="1" s="1"/>
  <c r="U118" i="1"/>
  <c r="V118" i="1" s="1"/>
  <c r="P120" i="1"/>
  <c r="Q120" i="1" s="1"/>
  <c r="AL148" i="1"/>
  <c r="U127" i="1"/>
  <c r="V127" i="1" s="1"/>
  <c r="U129" i="1"/>
  <c r="V129" i="1" s="1"/>
  <c r="U140" i="1"/>
  <c r="L175" i="1"/>
  <c r="Y164" i="1"/>
  <c r="P193" i="1"/>
  <c r="Q193" i="1" s="1"/>
  <c r="H218" i="1"/>
  <c r="H226" i="1"/>
  <c r="P236" i="1"/>
  <c r="R236" i="1" s="1"/>
  <c r="H251" i="1"/>
  <c r="AB264" i="1"/>
  <c r="AG264" i="1" s="1"/>
  <c r="H280" i="1"/>
  <c r="P315" i="1"/>
  <c r="R315" i="1" s="1"/>
  <c r="H122" i="1"/>
  <c r="H130" i="1"/>
  <c r="K66" i="1"/>
  <c r="K69" i="1" s="1"/>
  <c r="K77" i="1"/>
  <c r="K85" i="1"/>
  <c r="H101" i="1"/>
  <c r="Z118" i="1"/>
  <c r="AA118" i="1" s="1"/>
  <c r="I175" i="1"/>
  <c r="K149" i="1"/>
  <c r="K155" i="1"/>
  <c r="H161" i="1"/>
  <c r="H185" i="1"/>
  <c r="U190" i="1"/>
  <c r="V190" i="1" s="1"/>
  <c r="H220" i="1"/>
  <c r="K223" i="1"/>
  <c r="P249" i="1"/>
  <c r="Q249" i="1" s="1"/>
  <c r="H281" i="1"/>
  <c r="AJ295" i="1"/>
  <c r="Y354" i="1"/>
  <c r="Q14" i="1"/>
  <c r="Y14" i="1"/>
  <c r="H28" i="1"/>
  <c r="P29" i="1"/>
  <c r="Q29" i="1" s="1"/>
  <c r="G32" i="1"/>
  <c r="P40" i="1"/>
  <c r="Q40" i="1" s="1"/>
  <c r="H53" i="1"/>
  <c r="H66" i="1"/>
  <c r="H69" i="1" s="1"/>
  <c r="V69" i="1"/>
  <c r="G74" i="1"/>
  <c r="K121" i="1"/>
  <c r="P121" i="1"/>
  <c r="R121" i="1" s="1"/>
  <c r="H121" i="1"/>
  <c r="Y132" i="1"/>
  <c r="R132" i="1"/>
  <c r="Z168" i="1"/>
  <c r="AA168" i="1" s="1"/>
  <c r="P168" i="1"/>
  <c r="K168" i="1"/>
  <c r="H168" i="1"/>
  <c r="Y245" i="1"/>
  <c r="AJ290" i="1"/>
  <c r="J97" i="1"/>
  <c r="Y27" i="1"/>
  <c r="P28" i="1"/>
  <c r="Q28" i="1" s="1"/>
  <c r="Y36" i="1"/>
  <c r="Y37" i="1" s="1"/>
  <c r="P53" i="1"/>
  <c r="Q53" i="1" s="1"/>
  <c r="U58" i="1"/>
  <c r="H65" i="1"/>
  <c r="H75" i="1"/>
  <c r="G87" i="1"/>
  <c r="K78" i="1"/>
  <c r="H82" i="1"/>
  <c r="P82" i="1"/>
  <c r="AB288" i="1"/>
  <c r="AG288" i="1" s="1"/>
  <c r="Z288" i="1"/>
  <c r="AA288" i="1" s="1"/>
  <c r="K288" i="1"/>
  <c r="AB40" i="1"/>
  <c r="AG40" i="1" s="1"/>
  <c r="U53" i="1"/>
  <c r="V53" i="1" s="1"/>
  <c r="K61" i="1"/>
  <c r="K62" i="1"/>
  <c r="K65" i="1" s="1"/>
  <c r="Y67" i="1"/>
  <c r="G69" i="1"/>
  <c r="K75" i="1"/>
  <c r="P78" i="1"/>
  <c r="Q78" i="1" s="1"/>
  <c r="K82" i="1"/>
  <c r="Z123" i="1"/>
  <c r="AA123" i="1" s="1"/>
  <c r="P123" i="1"/>
  <c r="H123" i="1"/>
  <c r="U333" i="1"/>
  <c r="V333" i="1" s="1"/>
  <c r="AB333" i="1"/>
  <c r="AG333" i="1" s="1"/>
  <c r="K333" i="1"/>
  <c r="H333" i="1"/>
  <c r="P353" i="1"/>
  <c r="Q353" i="1" s="1"/>
  <c r="AB353" i="1"/>
  <c r="AE353" i="1" s="1"/>
  <c r="U353" i="1"/>
  <c r="V353" i="1" s="1"/>
  <c r="K353" i="1"/>
  <c r="P261" i="1"/>
  <c r="AB261" i="1"/>
  <c r="AG261" i="1" s="1"/>
  <c r="U261" i="1"/>
  <c r="V261" i="1" s="1"/>
  <c r="K261" i="1"/>
  <c r="X97" i="1"/>
  <c r="Y64" i="1"/>
  <c r="Z162" i="1"/>
  <c r="AA162" i="1" s="1"/>
  <c r="U162" i="1"/>
  <c r="V162" i="1" s="1"/>
  <c r="K162" i="1"/>
  <c r="H162" i="1"/>
  <c r="Z340" i="1"/>
  <c r="AA340" i="1" s="1"/>
  <c r="H340" i="1"/>
  <c r="U359" i="1"/>
  <c r="V359" i="1" s="1"/>
  <c r="P359" i="1"/>
  <c r="AQ21" i="1"/>
  <c r="AQ97" i="1" s="1"/>
  <c r="H52" i="1"/>
  <c r="H55" i="1" s="1"/>
  <c r="V73" i="1"/>
  <c r="P80" i="1"/>
  <c r="Q80" i="1" s="1"/>
  <c r="U80" i="1"/>
  <c r="V80" i="1" s="1"/>
  <c r="P90" i="1"/>
  <c r="R90" i="1" s="1"/>
  <c r="U90" i="1"/>
  <c r="V90" i="1" s="1"/>
  <c r="K90" i="1"/>
  <c r="H90" i="1"/>
  <c r="H91" i="1" s="1"/>
  <c r="Y183" i="1"/>
  <c r="R183" i="1"/>
  <c r="K230" i="1"/>
  <c r="W230" i="1"/>
  <c r="X230" i="1" s="1"/>
  <c r="U230" i="1"/>
  <c r="V230" i="1" s="1"/>
  <c r="H230" i="1"/>
  <c r="AA21" i="1"/>
  <c r="AE25" i="1"/>
  <c r="AE26" i="1" s="1"/>
  <c r="H29" i="1"/>
  <c r="K31" i="1"/>
  <c r="K32" i="1" s="1"/>
  <c r="K34" i="1"/>
  <c r="K35" i="1" s="1"/>
  <c r="V38" i="1"/>
  <c r="H40" i="1"/>
  <c r="U42" i="1"/>
  <c r="U44" i="1" s="1"/>
  <c r="Y47" i="1"/>
  <c r="I97" i="1"/>
  <c r="U52" i="1"/>
  <c r="K54" i="1"/>
  <c r="R59" i="1"/>
  <c r="R61" i="1" s="1"/>
  <c r="Q60" i="1"/>
  <c r="Q61" i="1" s="1"/>
  <c r="Z65" i="1"/>
  <c r="G65" i="1"/>
  <c r="P77" i="1"/>
  <c r="Q77" i="1" s="1"/>
  <c r="H80" i="1"/>
  <c r="Z165" i="1"/>
  <c r="AA165" i="1" s="1"/>
  <c r="U165" i="1"/>
  <c r="V165" i="1" s="1"/>
  <c r="P165" i="1"/>
  <c r="K165" i="1"/>
  <c r="H165" i="1"/>
  <c r="Z283" i="1"/>
  <c r="AA283" i="1" s="1"/>
  <c r="AB283" i="1"/>
  <c r="AE283" i="1" s="1"/>
  <c r="U283" i="1"/>
  <c r="V283" i="1" s="1"/>
  <c r="P283" i="1"/>
  <c r="R283" i="1" s="1"/>
  <c r="K283" i="1"/>
  <c r="H283" i="1"/>
  <c r="Y295" i="1"/>
  <c r="Z357" i="1"/>
  <c r="AA357" i="1" s="1"/>
  <c r="U357" i="1"/>
  <c r="V357" i="1" s="1"/>
  <c r="Y134" i="1"/>
  <c r="R134" i="1"/>
  <c r="Z194" i="1"/>
  <c r="AA194" i="1" s="1"/>
  <c r="P194" i="1"/>
  <c r="R194" i="1" s="1"/>
  <c r="K194" i="1"/>
  <c r="H194" i="1"/>
  <c r="Y22" i="1"/>
  <c r="G26" i="1"/>
  <c r="K29" i="1"/>
  <c r="P31" i="1"/>
  <c r="Q31" i="1" s="1"/>
  <c r="Q32" i="1" s="1"/>
  <c r="P34" i="1"/>
  <c r="Z41" i="1"/>
  <c r="K40" i="1"/>
  <c r="P54" i="1"/>
  <c r="Q54" i="1" s="1"/>
  <c r="Y57" i="1"/>
  <c r="Z81" i="1"/>
  <c r="AA81" i="1" s="1"/>
  <c r="U81" i="1"/>
  <c r="V81" i="1" s="1"/>
  <c r="K81" i="1"/>
  <c r="P259" i="1"/>
  <c r="R259" i="1" s="1"/>
  <c r="AB259" i="1"/>
  <c r="AG259" i="1" s="1"/>
  <c r="U259" i="1"/>
  <c r="V259" i="1" s="1"/>
  <c r="K259" i="1"/>
  <c r="AE265" i="1"/>
  <c r="AJ265" i="1"/>
  <c r="AG265" i="1"/>
  <c r="Z350" i="1"/>
  <c r="AA350" i="1" s="1"/>
  <c r="P350" i="1"/>
  <c r="R350" i="1" s="1"/>
  <c r="K350" i="1"/>
  <c r="H350" i="1"/>
  <c r="U85" i="1"/>
  <c r="V85" i="1" s="1"/>
  <c r="H93" i="1"/>
  <c r="H95" i="1"/>
  <c r="P101" i="1"/>
  <c r="S148" i="1"/>
  <c r="V108" i="1"/>
  <c r="H112" i="1"/>
  <c r="K113" i="1"/>
  <c r="H116" i="1"/>
  <c r="R118" i="1"/>
  <c r="K127" i="1"/>
  <c r="AB128" i="1"/>
  <c r="AE128" i="1" s="1"/>
  <c r="H133" i="1"/>
  <c r="H145" i="1"/>
  <c r="K151" i="1"/>
  <c r="Y170" i="1"/>
  <c r="K186" i="1"/>
  <c r="K190" i="1"/>
  <c r="U191" i="1"/>
  <c r="V191" i="1" s="1"/>
  <c r="H198" i="1"/>
  <c r="P222" i="1"/>
  <c r="R222" i="1" s="1"/>
  <c r="P224" i="1"/>
  <c r="K227" i="1"/>
  <c r="K231" i="1"/>
  <c r="K234" i="1"/>
  <c r="K236" i="1"/>
  <c r="H238" i="1"/>
  <c r="P239" i="1"/>
  <c r="Q245" i="1"/>
  <c r="AB258" i="1"/>
  <c r="AG258" i="1" s="1"/>
  <c r="AB260" i="1"/>
  <c r="AG260" i="1" s="1"/>
  <c r="U262" i="1"/>
  <c r="V262" i="1" s="1"/>
  <c r="AB263" i="1"/>
  <c r="U266" i="1"/>
  <c r="V266" i="1" s="1"/>
  <c r="U267" i="1"/>
  <c r="V267" i="1" s="1"/>
  <c r="K269" i="1"/>
  <c r="R295" i="1"/>
  <c r="AG295" i="1"/>
  <c r="AI295" i="1" s="1"/>
  <c r="AB297" i="1"/>
  <c r="AE297" i="1" s="1"/>
  <c r="AB314" i="1"/>
  <c r="AD314" i="1" s="1"/>
  <c r="AB315" i="1"/>
  <c r="H317" i="1"/>
  <c r="K318" i="1"/>
  <c r="U325" i="1"/>
  <c r="V325" i="1" s="1"/>
  <c r="AH330" i="1"/>
  <c r="AI330" i="1" s="1"/>
  <c r="AB331" i="1"/>
  <c r="AB332" i="1"/>
  <c r="AH332" i="1" s="1"/>
  <c r="W93" i="1"/>
  <c r="W148" i="1"/>
  <c r="P112" i="1"/>
  <c r="U116" i="1"/>
  <c r="V116" i="1" s="1"/>
  <c r="P133" i="1"/>
  <c r="K142" i="1"/>
  <c r="K144" i="1"/>
  <c r="P145" i="1"/>
  <c r="U149" i="1"/>
  <c r="V149" i="1" s="1"/>
  <c r="U155" i="1"/>
  <c r="V155" i="1" s="1"/>
  <c r="Y172" i="1"/>
  <c r="U181" i="1"/>
  <c r="P185" i="1"/>
  <c r="U201" i="1"/>
  <c r="V201" i="1" s="1"/>
  <c r="Y210" i="1"/>
  <c r="K215" i="1"/>
  <c r="K218" i="1"/>
  <c r="U222" i="1"/>
  <c r="U236" i="1"/>
  <c r="V236" i="1" s="1"/>
  <c r="P238" i="1"/>
  <c r="K251" i="1"/>
  <c r="U255" i="1"/>
  <c r="V255" i="1" s="1"/>
  <c r="U257" i="1"/>
  <c r="AB266" i="1"/>
  <c r="AB267" i="1"/>
  <c r="AB279" i="1"/>
  <c r="AG279" i="1" s="1"/>
  <c r="K284" i="1"/>
  <c r="K285" i="1"/>
  <c r="AE294" i="1"/>
  <c r="U317" i="1"/>
  <c r="V317" i="1" s="1"/>
  <c r="Z318" i="1"/>
  <c r="AA318" i="1" s="1"/>
  <c r="U329" i="1"/>
  <c r="U330" i="1"/>
  <c r="Y361" i="1"/>
  <c r="AA147" i="1"/>
  <c r="U198" i="1"/>
  <c r="Y198" i="1" s="1"/>
  <c r="U215" i="1"/>
  <c r="V215" i="1" s="1"/>
  <c r="U218" i="1"/>
  <c r="V218" i="1" s="1"/>
  <c r="U232" i="1"/>
  <c r="K235" i="1"/>
  <c r="U238" i="1"/>
  <c r="V238" i="1" s="1"/>
  <c r="Z239" i="1"/>
  <c r="AA239" i="1" s="1"/>
  <c r="AB280" i="1"/>
  <c r="AE280" i="1" s="1"/>
  <c r="P284" i="1"/>
  <c r="Q284" i="1" s="1"/>
  <c r="P285" i="1"/>
  <c r="Q285" i="1" s="1"/>
  <c r="AG294" i="1"/>
  <c r="P300" i="1"/>
  <c r="Q300" i="1" s="1"/>
  <c r="Z317" i="1"/>
  <c r="AA317" i="1" s="1"/>
  <c r="W323" i="1"/>
  <c r="X323" i="1" s="1"/>
  <c r="H327" i="1"/>
  <c r="H348" i="1"/>
  <c r="H85" i="1"/>
  <c r="L148" i="1"/>
  <c r="H109" i="1"/>
  <c r="H111" i="1"/>
  <c r="U112" i="1"/>
  <c r="V112" i="1" s="1"/>
  <c r="H120" i="1"/>
  <c r="K128" i="1"/>
  <c r="AD135" i="1"/>
  <c r="AD138" i="1" s="1"/>
  <c r="AD148" i="1" s="1"/>
  <c r="P146" i="1"/>
  <c r="R146" i="1" s="1"/>
  <c r="H150" i="1"/>
  <c r="G169" i="1"/>
  <c r="U179" i="1"/>
  <c r="V179" i="1" s="1"/>
  <c r="U185" i="1"/>
  <c r="V185" i="1" s="1"/>
  <c r="H193" i="1"/>
  <c r="W201" i="1"/>
  <c r="W202" i="1" s="1"/>
  <c r="H223" i="1"/>
  <c r="K250" i="1"/>
  <c r="AD254" i="1"/>
  <c r="H264" i="1"/>
  <c r="AG268" i="1"/>
  <c r="AI268" i="1" s="1"/>
  <c r="H271" i="1"/>
  <c r="P275" i="1"/>
  <c r="R275" i="1" s="1"/>
  <c r="U284" i="1"/>
  <c r="V284" i="1" s="1"/>
  <c r="U285" i="1"/>
  <c r="V285" i="1" s="1"/>
  <c r="H290" i="1"/>
  <c r="AD293" i="1"/>
  <c r="H297" i="1"/>
  <c r="K313" i="1"/>
  <c r="K315" i="1"/>
  <c r="AB317" i="1"/>
  <c r="AG317" i="1" s="1"/>
  <c r="U327" i="1"/>
  <c r="V327" i="1" s="1"/>
  <c r="W329" i="1"/>
  <c r="X329" i="1" s="1"/>
  <c r="W330" i="1"/>
  <c r="X330" i="1" s="1"/>
  <c r="Y355" i="1"/>
  <c r="K360" i="1"/>
  <c r="P94" i="1"/>
  <c r="Q94" i="1" s="1"/>
  <c r="Q98" i="1"/>
  <c r="M148" i="1"/>
  <c r="K109" i="1"/>
  <c r="U111" i="1"/>
  <c r="V111" i="1" s="1"/>
  <c r="K120" i="1"/>
  <c r="AG135" i="1"/>
  <c r="K173" i="1"/>
  <c r="H199" i="1"/>
  <c r="Z201" i="1"/>
  <c r="AA201" i="1" s="1"/>
  <c r="P214" i="1"/>
  <c r="Q214" i="1" s="1"/>
  <c r="U216" i="1"/>
  <c r="K219" i="1"/>
  <c r="Y268" i="1"/>
  <c r="AJ268" i="1"/>
  <c r="U271" i="1"/>
  <c r="V271" i="1" s="1"/>
  <c r="U275" i="1"/>
  <c r="V275" i="1" s="1"/>
  <c r="AB285" i="1"/>
  <c r="Z286" i="1"/>
  <c r="AA286" i="1" s="1"/>
  <c r="K290" i="1"/>
  <c r="K291" i="1"/>
  <c r="AE293" i="1"/>
  <c r="K297" i="1"/>
  <c r="K298" i="1"/>
  <c r="N148" i="1"/>
  <c r="H131" i="1"/>
  <c r="H141" i="1"/>
  <c r="H143" i="1" s="1"/>
  <c r="U152" i="1"/>
  <c r="V152" i="1" s="1"/>
  <c r="K154" i="1"/>
  <c r="K159" i="1"/>
  <c r="K161" i="1"/>
  <c r="U173" i="1"/>
  <c r="V173" i="1" s="1"/>
  <c r="K180" i="1"/>
  <c r="K189" i="1"/>
  <c r="K191" i="1"/>
  <c r="G202" i="1"/>
  <c r="Y203" i="1"/>
  <c r="W219" i="1"/>
  <c r="X219" i="1" s="1"/>
  <c r="K237" i="1"/>
  <c r="P241" i="1"/>
  <c r="AB250" i="1"/>
  <c r="AE250" i="1" s="1"/>
  <c r="U256" i="1"/>
  <c r="Y256" i="1" s="1"/>
  <c r="K258" i="1"/>
  <c r="K260" i="1"/>
  <c r="R264" i="1"/>
  <c r="K265" i="1"/>
  <c r="H267" i="1"/>
  <c r="Y269" i="1"/>
  <c r="K280" i="1"/>
  <c r="K281" i="1"/>
  <c r="H282" i="1"/>
  <c r="AB284" i="1"/>
  <c r="AJ284" i="1" s="1"/>
  <c r="P290" i="1"/>
  <c r="Q290" i="1" s="1"/>
  <c r="AG293" i="1"/>
  <c r="AD295" i="1"/>
  <c r="P297" i="1"/>
  <c r="R297" i="1" s="1"/>
  <c r="AB298" i="1"/>
  <c r="AD298" i="1" s="1"/>
  <c r="U315" i="1"/>
  <c r="V315" i="1" s="1"/>
  <c r="U316" i="1"/>
  <c r="V316" i="1" s="1"/>
  <c r="U331" i="1"/>
  <c r="V331" i="1" s="1"/>
  <c r="U332" i="1"/>
  <c r="V332" i="1" s="1"/>
  <c r="K339" i="1"/>
  <c r="U343" i="1"/>
  <c r="V343" i="1" s="1"/>
  <c r="H349" i="1"/>
  <c r="P351" i="1"/>
  <c r="Q351" i="1" s="1"/>
  <c r="AB360" i="1"/>
  <c r="AE360" i="1" s="1"/>
  <c r="U109" i="1"/>
  <c r="H113" i="1"/>
  <c r="K118" i="1"/>
  <c r="P122" i="1"/>
  <c r="Q122" i="1" s="1"/>
  <c r="K141" i="1"/>
  <c r="Z152" i="1"/>
  <c r="AA152" i="1" s="1"/>
  <c r="U154" i="1"/>
  <c r="V154" i="1" s="1"/>
  <c r="P159" i="1"/>
  <c r="Y159" i="1" s="1"/>
  <c r="U161" i="1"/>
  <c r="V161" i="1" s="1"/>
  <c r="G174" i="1"/>
  <c r="U180" i="1"/>
  <c r="V180" i="1" s="1"/>
  <c r="K184" i="1"/>
  <c r="H186" i="1"/>
  <c r="P191" i="1"/>
  <c r="Y191" i="1" s="1"/>
  <c r="U193" i="1"/>
  <c r="V193" i="1" s="1"/>
  <c r="P199" i="1"/>
  <c r="P202" i="1" s="1"/>
  <c r="U214" i="1"/>
  <c r="H231" i="1"/>
  <c r="H239" i="1"/>
  <c r="Y244" i="1"/>
  <c r="AJ254" i="1"/>
  <c r="AB256" i="1"/>
  <c r="AG256" i="1" s="1"/>
  <c r="U258" i="1"/>
  <c r="V258" i="1" s="1"/>
  <c r="U260" i="1"/>
  <c r="V260" i="1" s="1"/>
  <c r="K262" i="1"/>
  <c r="U264" i="1"/>
  <c r="V264" i="1" s="1"/>
  <c r="U265" i="1"/>
  <c r="V265" i="1" s="1"/>
  <c r="Q266" i="1"/>
  <c r="K267" i="1"/>
  <c r="K268" i="1"/>
  <c r="P280" i="1"/>
  <c r="P281" i="1"/>
  <c r="R281" i="1" s="1"/>
  <c r="K282" i="1"/>
  <c r="U290" i="1"/>
  <c r="V290" i="1" s="1"/>
  <c r="U297" i="1"/>
  <c r="V297" i="1" s="1"/>
  <c r="K314" i="1"/>
  <c r="H325" i="1"/>
  <c r="W328" i="1"/>
  <c r="X328" i="1" s="1"/>
  <c r="W332" i="1"/>
  <c r="X332" i="1" s="1"/>
  <c r="AB339" i="1"/>
  <c r="AE339" i="1" s="1"/>
  <c r="K349" i="1"/>
  <c r="AD356" i="1"/>
  <c r="AA41" i="1"/>
  <c r="Y8" i="1"/>
  <c r="R8" i="1"/>
  <c r="Q12" i="1"/>
  <c r="Y12" i="1"/>
  <c r="R20" i="1"/>
  <c r="Y20" i="1"/>
  <c r="Y16" i="1"/>
  <c r="Q16" i="1"/>
  <c r="Q42" i="1"/>
  <c r="P44" i="1"/>
  <c r="AA45" i="1"/>
  <c r="AA49" i="1" s="1"/>
  <c r="Z49" i="1"/>
  <c r="Y9" i="1"/>
  <c r="R9" i="1"/>
  <c r="Y17" i="1"/>
  <c r="R17" i="1"/>
  <c r="H26" i="1"/>
  <c r="V29" i="1"/>
  <c r="V31" i="1"/>
  <c r="V32" i="1" s="1"/>
  <c r="U32" i="1"/>
  <c r="P51" i="1"/>
  <c r="R50" i="1"/>
  <c r="R51" i="1" s="1"/>
  <c r="Y15" i="1"/>
  <c r="Q15" i="1"/>
  <c r="AA69" i="1"/>
  <c r="P7" i="1"/>
  <c r="R10" i="1"/>
  <c r="Q18" i="1"/>
  <c r="AA23" i="1"/>
  <c r="Y24" i="1"/>
  <c r="AG25" i="1"/>
  <c r="AG26" i="1" s="1"/>
  <c r="L97" i="1"/>
  <c r="V27" i="1"/>
  <c r="Z29" i="1"/>
  <c r="AA29" i="1" s="1"/>
  <c r="AA30" i="1" s="1"/>
  <c r="Z31" i="1"/>
  <c r="Y33" i="1"/>
  <c r="AD38" i="1"/>
  <c r="K39" i="1"/>
  <c r="K41" i="1" s="1"/>
  <c r="Q43" i="1"/>
  <c r="K45" i="1"/>
  <c r="K48" i="1"/>
  <c r="G49" i="1"/>
  <c r="U50" i="1"/>
  <c r="Y50" i="1" s="1"/>
  <c r="Y51" i="1" s="1"/>
  <c r="K52" i="1"/>
  <c r="V56" i="1"/>
  <c r="V58" i="1" s="1"/>
  <c r="Z61" i="1"/>
  <c r="U69" i="1"/>
  <c r="K83" i="1"/>
  <c r="H83" i="1"/>
  <c r="U83" i="1"/>
  <c r="V83" i="1" s="1"/>
  <c r="Q110" i="1"/>
  <c r="U114" i="1"/>
  <c r="V114" i="1" s="1"/>
  <c r="P114" i="1"/>
  <c r="K114" i="1"/>
  <c r="H114" i="1"/>
  <c r="Z92" i="1"/>
  <c r="U92" i="1"/>
  <c r="P92" i="1"/>
  <c r="G96" i="1"/>
  <c r="K92" i="1"/>
  <c r="S97" i="1"/>
  <c r="U25" i="1"/>
  <c r="V25" i="1" s="1"/>
  <c r="V26" i="1" s="1"/>
  <c r="M97" i="1"/>
  <c r="H31" i="1"/>
  <c r="H32" i="1" s="1"/>
  <c r="U34" i="1"/>
  <c r="V34" i="1" s="1"/>
  <c r="V35" i="1" s="1"/>
  <c r="AE38" i="1"/>
  <c r="P39" i="1"/>
  <c r="G41" i="1"/>
  <c r="P45" i="1"/>
  <c r="P48" i="1"/>
  <c r="P52" i="1"/>
  <c r="U54" i="1"/>
  <c r="V54" i="1" s="1"/>
  <c r="Y63" i="1"/>
  <c r="Y66" i="1"/>
  <c r="P69" i="1"/>
  <c r="R66" i="1"/>
  <c r="R69" i="1" s="1"/>
  <c r="Y76" i="1"/>
  <c r="AA88" i="1"/>
  <c r="R131" i="1"/>
  <c r="Y144" i="1"/>
  <c r="Q144" i="1"/>
  <c r="Q147" i="1" s="1"/>
  <c r="T97" i="1"/>
  <c r="AJ25" i="1"/>
  <c r="AJ26" i="1" s="1"/>
  <c r="N97" i="1"/>
  <c r="AG38" i="1"/>
  <c r="Z42" i="1"/>
  <c r="U65" i="1"/>
  <c r="K72" i="1"/>
  <c r="H72" i="1"/>
  <c r="U72" i="1"/>
  <c r="V72" i="1" s="1"/>
  <c r="U79" i="1"/>
  <c r="V79" i="1" s="1"/>
  <c r="P79" i="1"/>
  <c r="K79" i="1"/>
  <c r="H79" i="1"/>
  <c r="G91" i="1"/>
  <c r="P89" i="1"/>
  <c r="K89" i="1"/>
  <c r="K91" i="1" s="1"/>
  <c r="U103" i="1"/>
  <c r="V103" i="1" s="1"/>
  <c r="P103" i="1"/>
  <c r="K103" i="1"/>
  <c r="H103" i="1"/>
  <c r="Q115" i="1"/>
  <c r="Z117" i="1"/>
  <c r="AA117" i="1" s="1"/>
  <c r="U117" i="1"/>
  <c r="V117" i="1" s="1"/>
  <c r="P117" i="1"/>
  <c r="K117" i="1"/>
  <c r="H117" i="1"/>
  <c r="U45" i="1"/>
  <c r="Z50" i="1"/>
  <c r="H56" i="1"/>
  <c r="H58" i="1" s="1"/>
  <c r="G58" i="1"/>
  <c r="P56" i="1"/>
  <c r="Q161" i="1"/>
  <c r="AN97" i="1"/>
  <c r="AN365" i="1" s="1"/>
  <c r="Z25" i="1"/>
  <c r="AA25" i="1" s="1"/>
  <c r="Z34" i="1"/>
  <c r="Z35" i="1" s="1"/>
  <c r="Y38" i="1"/>
  <c r="K42" i="1"/>
  <c r="K44" i="1" s="1"/>
  <c r="H50" i="1"/>
  <c r="H51" i="1" s="1"/>
  <c r="Z54" i="1"/>
  <c r="AA54" i="1" s="1"/>
  <c r="Z69" i="1"/>
  <c r="R72" i="1"/>
  <c r="P84" i="1"/>
  <c r="K84" i="1"/>
  <c r="U89" i="1"/>
  <c r="K50" i="1"/>
  <c r="K51" i="1" s="1"/>
  <c r="G51" i="1"/>
  <c r="K56" i="1"/>
  <c r="K58" i="1" s="1"/>
  <c r="AA63" i="1"/>
  <c r="AA65" i="1" s="1"/>
  <c r="Z72" i="1"/>
  <c r="AA72" i="1" s="1"/>
  <c r="Z79" i="1"/>
  <c r="AA79" i="1" s="1"/>
  <c r="H84" i="1"/>
  <c r="Z89" i="1"/>
  <c r="AA89" i="1" s="1"/>
  <c r="R123" i="1"/>
  <c r="Z52" i="1"/>
  <c r="U61" i="1"/>
  <c r="Y59" i="1"/>
  <c r="Y88" i="1"/>
  <c r="U166" i="1"/>
  <c r="V166" i="1" s="1"/>
  <c r="S166" i="1"/>
  <c r="K166" i="1"/>
  <c r="H166" i="1"/>
  <c r="Z166" i="1"/>
  <c r="AA166" i="1" s="1"/>
  <c r="Y68" i="1"/>
  <c r="Z71" i="1"/>
  <c r="AA71" i="1" s="1"/>
  <c r="P81" i="1"/>
  <c r="Z82" i="1"/>
  <c r="AA82" i="1" s="1"/>
  <c r="Z93" i="1"/>
  <c r="AA93" i="1" s="1"/>
  <c r="U94" i="1"/>
  <c r="V94" i="1" s="1"/>
  <c r="K95" i="1"/>
  <c r="U99" i="1"/>
  <c r="K100" i="1"/>
  <c r="G124" i="1"/>
  <c r="Z106" i="1"/>
  <c r="U107" i="1"/>
  <c r="V107" i="1" s="1"/>
  <c r="U110" i="1"/>
  <c r="V110" i="1" s="1"/>
  <c r="K111" i="1"/>
  <c r="P116" i="1"/>
  <c r="P126" i="1"/>
  <c r="H126" i="1"/>
  <c r="G138" i="1"/>
  <c r="Y135" i="1"/>
  <c r="Q135" i="1"/>
  <c r="H71" i="1"/>
  <c r="U75" i="1"/>
  <c r="U78" i="1"/>
  <c r="V78" i="1" s="1"/>
  <c r="U86" i="1"/>
  <c r="V86" i="1" s="1"/>
  <c r="Z90" i="1"/>
  <c r="AA90" i="1" s="1"/>
  <c r="P95" i="1"/>
  <c r="P100" i="1"/>
  <c r="U102" i="1"/>
  <c r="V102" i="1" s="1"/>
  <c r="G104" i="1"/>
  <c r="P111" i="1"/>
  <c r="U113" i="1"/>
  <c r="V113" i="1" s="1"/>
  <c r="Y136" i="1"/>
  <c r="R136" i="1"/>
  <c r="Y139" i="1"/>
  <c r="R139" i="1"/>
  <c r="R143" i="1" s="1"/>
  <c r="R157" i="1"/>
  <c r="Y157" i="1"/>
  <c r="Y243" i="1"/>
  <c r="Q243" i="1"/>
  <c r="Z80" i="1"/>
  <c r="AA80" i="1" s="1"/>
  <c r="Z115" i="1"/>
  <c r="AA115" i="1" s="1"/>
  <c r="Y153" i="1"/>
  <c r="V219" i="1"/>
  <c r="Z94" i="1"/>
  <c r="AA94" i="1" s="1"/>
  <c r="U95" i="1"/>
  <c r="V95" i="1" s="1"/>
  <c r="Z99" i="1"/>
  <c r="U100" i="1"/>
  <c r="V100" i="1" s="1"/>
  <c r="Z107" i="1"/>
  <c r="AA107" i="1" s="1"/>
  <c r="Z110" i="1"/>
  <c r="AA110" i="1" s="1"/>
  <c r="Y70" i="1"/>
  <c r="Z75" i="1"/>
  <c r="Z78" i="1"/>
  <c r="AA78" i="1" s="1"/>
  <c r="K80" i="1"/>
  <c r="H94" i="1"/>
  <c r="H99" i="1"/>
  <c r="V105" i="1"/>
  <c r="H107" i="1"/>
  <c r="H110" i="1"/>
  <c r="K115" i="1"/>
  <c r="Y125" i="1"/>
  <c r="Q125" i="1"/>
  <c r="W163" i="1"/>
  <c r="X163" i="1" s="1"/>
  <c r="K163" i="1"/>
  <c r="H163" i="1"/>
  <c r="R165" i="1"/>
  <c r="R169" i="1" s="1"/>
  <c r="Z177" i="1"/>
  <c r="AA176" i="1"/>
  <c r="AA177" i="1" s="1"/>
  <c r="G197" i="1"/>
  <c r="U178" i="1"/>
  <c r="P178" i="1"/>
  <c r="K178" i="1"/>
  <c r="H178" i="1"/>
  <c r="K99" i="1"/>
  <c r="Y105" i="1"/>
  <c r="K107" i="1"/>
  <c r="K110" i="1"/>
  <c r="U123" i="1"/>
  <c r="V123" i="1" s="1"/>
  <c r="K123" i="1"/>
  <c r="V125" i="1"/>
  <c r="Z147" i="1"/>
  <c r="U146" i="1"/>
  <c r="V146" i="1" s="1"/>
  <c r="K146" i="1"/>
  <c r="H146" i="1"/>
  <c r="R151" i="1"/>
  <c r="U163" i="1"/>
  <c r="Q168" i="1"/>
  <c r="Z178" i="1"/>
  <c r="K202" i="1"/>
  <c r="V214" i="1"/>
  <c r="AA125" i="1"/>
  <c r="Y137" i="1"/>
  <c r="Q137" i="1"/>
  <c r="Y171" i="1"/>
  <c r="R171" i="1"/>
  <c r="R179" i="1"/>
  <c r="V206" i="1"/>
  <c r="U229" i="1"/>
  <c r="V229" i="1" s="1"/>
  <c r="P229" i="1"/>
  <c r="K229" i="1"/>
  <c r="H229" i="1"/>
  <c r="Z229" i="1"/>
  <c r="AA229" i="1" s="1"/>
  <c r="Z120" i="1"/>
  <c r="AA120" i="1" s="1"/>
  <c r="U121" i="1"/>
  <c r="K122" i="1"/>
  <c r="P127" i="1"/>
  <c r="Z128" i="1"/>
  <c r="AA128" i="1" s="1"/>
  <c r="U130" i="1"/>
  <c r="V130" i="1" s="1"/>
  <c r="U131" i="1"/>
  <c r="V131" i="1" s="1"/>
  <c r="AE135" i="1"/>
  <c r="P140" i="1"/>
  <c r="Z141" i="1"/>
  <c r="AA141" i="1" s="1"/>
  <c r="P149" i="1"/>
  <c r="Z150" i="1"/>
  <c r="AA150" i="1" s="1"/>
  <c r="P155" i="1"/>
  <c r="Z171" i="1"/>
  <c r="P173" i="1"/>
  <c r="P174" i="1" s="1"/>
  <c r="Y176" i="1"/>
  <c r="Y177" i="1" s="1"/>
  <c r="H180" i="1"/>
  <c r="P182" i="1"/>
  <c r="H184" i="1"/>
  <c r="H189" i="1"/>
  <c r="P195" i="1"/>
  <c r="Q227" i="1"/>
  <c r="AB278" i="1"/>
  <c r="K278" i="1"/>
  <c r="H278" i="1"/>
  <c r="Z278" i="1"/>
  <c r="AA278" i="1" s="1"/>
  <c r="U278" i="1"/>
  <c r="V278" i="1" s="1"/>
  <c r="S278" i="1"/>
  <c r="Z154" i="1"/>
  <c r="AA154" i="1" s="1"/>
  <c r="P180" i="1"/>
  <c r="Z181" i="1"/>
  <c r="AA181" i="1" s="1"/>
  <c r="K188" i="1"/>
  <c r="H188" i="1"/>
  <c r="U189" i="1"/>
  <c r="V189" i="1" s="1"/>
  <c r="U221" i="1"/>
  <c r="V221" i="1" s="1"/>
  <c r="P221" i="1"/>
  <c r="K221" i="1"/>
  <c r="H221" i="1"/>
  <c r="Y234" i="1"/>
  <c r="Q234" i="1"/>
  <c r="R262" i="1"/>
  <c r="AJ280" i="1"/>
  <c r="Z121" i="1"/>
  <c r="AA121" i="1" s="1"/>
  <c r="U122" i="1"/>
  <c r="V122" i="1" s="1"/>
  <c r="Z130" i="1"/>
  <c r="AA130" i="1" s="1"/>
  <c r="Z131" i="1"/>
  <c r="AA131" i="1" s="1"/>
  <c r="V140" i="1"/>
  <c r="P141" i="1"/>
  <c r="Z142" i="1"/>
  <c r="AA142" i="1" s="1"/>
  <c r="U145" i="1"/>
  <c r="G147" i="1"/>
  <c r="P150" i="1"/>
  <c r="Z151" i="1"/>
  <c r="AA151" i="1" s="1"/>
  <c r="R153" i="1"/>
  <c r="H154" i="1"/>
  <c r="Q156" i="1"/>
  <c r="G158" i="1"/>
  <c r="Z161" i="1"/>
  <c r="AA161" i="1" s="1"/>
  <c r="W162" i="1"/>
  <c r="U168" i="1"/>
  <c r="V168" i="1" s="1"/>
  <c r="V170" i="1"/>
  <c r="H181" i="1"/>
  <c r="P188" i="1"/>
  <c r="Z189" i="1"/>
  <c r="AA189" i="1" s="1"/>
  <c r="G248" i="1"/>
  <c r="U213" i="1"/>
  <c r="V213" i="1" s="1"/>
  <c r="P213" i="1"/>
  <c r="K213" i="1"/>
  <c r="H213" i="1"/>
  <c r="Z221" i="1"/>
  <c r="AA221" i="1" s="1"/>
  <c r="Y226" i="1"/>
  <c r="R226" i="1"/>
  <c r="P177" i="1"/>
  <c r="Z179" i="1"/>
  <c r="AA179" i="1" s="1"/>
  <c r="U192" i="1"/>
  <c r="V192" i="1" s="1"/>
  <c r="P192" i="1"/>
  <c r="K192" i="1"/>
  <c r="R218" i="1"/>
  <c r="K130" i="1"/>
  <c r="AB130" i="1"/>
  <c r="K131" i="1"/>
  <c r="Z140" i="1"/>
  <c r="G143" i="1"/>
  <c r="Z149" i="1"/>
  <c r="Z155" i="1"/>
  <c r="AA155" i="1" s="1"/>
  <c r="Z173" i="1"/>
  <c r="AA173" i="1" s="1"/>
  <c r="H179" i="1"/>
  <c r="U187" i="1"/>
  <c r="V187" i="1" s="1"/>
  <c r="K187" i="1"/>
  <c r="H187" i="1"/>
  <c r="U188" i="1"/>
  <c r="V188" i="1" s="1"/>
  <c r="H192" i="1"/>
  <c r="Y196" i="1"/>
  <c r="V198" i="1"/>
  <c r="Y208" i="1"/>
  <c r="R208" i="1"/>
  <c r="K179" i="1"/>
  <c r="H182" i="1"/>
  <c r="P187" i="1"/>
  <c r="Z188" i="1"/>
  <c r="AA188" i="1" s="1"/>
  <c r="Y207" i="1"/>
  <c r="P242" i="1"/>
  <c r="H242" i="1"/>
  <c r="Z242" i="1"/>
  <c r="AA242" i="1" s="1"/>
  <c r="U242" i="1"/>
  <c r="V242" i="1" s="1"/>
  <c r="K242" i="1"/>
  <c r="U184" i="1"/>
  <c r="V184" i="1" s="1"/>
  <c r="P184" i="1"/>
  <c r="Q189" i="1"/>
  <c r="U195" i="1"/>
  <c r="V195" i="1" s="1"/>
  <c r="K195" i="1"/>
  <c r="H195" i="1"/>
  <c r="Y212" i="1"/>
  <c r="R212" i="1"/>
  <c r="Y228" i="1"/>
  <c r="Q228" i="1"/>
  <c r="V235" i="1"/>
  <c r="Y235" i="1"/>
  <c r="V246" i="1"/>
  <c r="Y246" i="1"/>
  <c r="AB274" i="1"/>
  <c r="K274" i="1"/>
  <c r="H274" i="1"/>
  <c r="Z274" i="1"/>
  <c r="AA274" i="1" s="1"/>
  <c r="U274" i="1"/>
  <c r="V274" i="1" s="1"/>
  <c r="P274" i="1"/>
  <c r="R282" i="1"/>
  <c r="P204" i="1"/>
  <c r="P217" i="1"/>
  <c r="Z218" i="1"/>
  <c r="AA218" i="1" s="1"/>
  <c r="P225" i="1"/>
  <c r="Z226" i="1"/>
  <c r="AA226" i="1" s="1"/>
  <c r="P233" i="1"/>
  <c r="Z234" i="1"/>
  <c r="AA234" i="1" s="1"/>
  <c r="W240" i="1"/>
  <c r="X240" i="1" s="1"/>
  <c r="G346" i="1"/>
  <c r="AB249" i="1"/>
  <c r="K249" i="1"/>
  <c r="H249" i="1"/>
  <c r="AE259" i="1"/>
  <c r="U204" i="1"/>
  <c r="V204" i="1" s="1"/>
  <c r="Z206" i="1"/>
  <c r="AA206" i="1" s="1"/>
  <c r="Z216" i="1"/>
  <c r="AA216" i="1" s="1"/>
  <c r="U217" i="1"/>
  <c r="V217" i="1" s="1"/>
  <c r="Z224" i="1"/>
  <c r="AA224" i="1" s="1"/>
  <c r="U225" i="1"/>
  <c r="V225" i="1" s="1"/>
  <c r="Z232" i="1"/>
  <c r="AA232" i="1" s="1"/>
  <c r="U233" i="1"/>
  <c r="V233" i="1" s="1"/>
  <c r="Z240" i="1"/>
  <c r="AA240" i="1" s="1"/>
  <c r="AG257" i="1"/>
  <c r="AD292" i="1"/>
  <c r="AE292" i="1"/>
  <c r="AG292" i="1"/>
  <c r="Z190" i="1"/>
  <c r="AA190" i="1" s="1"/>
  <c r="AA203" i="1"/>
  <c r="Q205" i="1"/>
  <c r="H206" i="1"/>
  <c r="H216" i="1"/>
  <c r="Z219" i="1"/>
  <c r="AA219" i="1" s="1"/>
  <c r="H224" i="1"/>
  <c r="Z227" i="1"/>
  <c r="AA227" i="1" s="1"/>
  <c r="V231" i="1"/>
  <c r="H232" i="1"/>
  <c r="Z235" i="1"/>
  <c r="AA235" i="1" s="1"/>
  <c r="R237" i="1"/>
  <c r="AA249" i="1"/>
  <c r="Q267" i="1"/>
  <c r="AB273" i="1"/>
  <c r="K273" i="1"/>
  <c r="H273" i="1"/>
  <c r="AB277" i="1"/>
  <c r="K277" i="1"/>
  <c r="H277" i="1"/>
  <c r="AG283" i="1"/>
  <c r="U310" i="1"/>
  <c r="V310" i="1" s="1"/>
  <c r="P310" i="1"/>
  <c r="AB310" i="1"/>
  <c r="K310" i="1"/>
  <c r="H310" i="1"/>
  <c r="Z310" i="1"/>
  <c r="AA310" i="1" s="1"/>
  <c r="Z185" i="1"/>
  <c r="AA185" i="1" s="1"/>
  <c r="U186" i="1"/>
  <c r="V186" i="1" s="1"/>
  <c r="H190" i="1"/>
  <c r="Z193" i="1"/>
  <c r="AA193" i="1" s="1"/>
  <c r="U194" i="1"/>
  <c r="V194" i="1" s="1"/>
  <c r="Z198" i="1"/>
  <c r="U199" i="1"/>
  <c r="V199" i="1" s="1"/>
  <c r="K206" i="1"/>
  <c r="K211" i="1" s="1"/>
  <c r="R209" i="1"/>
  <c r="G211" i="1"/>
  <c r="V212" i="1"/>
  <c r="Z214" i="1"/>
  <c r="AA214" i="1" s="1"/>
  <c r="W215" i="1"/>
  <c r="K216" i="1"/>
  <c r="H219" i="1"/>
  <c r="Z222" i="1"/>
  <c r="AA222" i="1" s="1"/>
  <c r="W223" i="1"/>
  <c r="X223" i="1" s="1"/>
  <c r="K224" i="1"/>
  <c r="H227" i="1"/>
  <c r="Z230" i="1"/>
  <c r="AA230" i="1" s="1"/>
  <c r="W231" i="1"/>
  <c r="X231" i="1" s="1"/>
  <c r="K232" i="1"/>
  <c r="H235" i="1"/>
  <c r="U237" i="1"/>
  <c r="V237" i="1" s="1"/>
  <c r="K241" i="1"/>
  <c r="AG255" i="1"/>
  <c r="AE255" i="1"/>
  <c r="AJ255" i="1"/>
  <c r="P273" i="1"/>
  <c r="P277" i="1"/>
  <c r="AJ283" i="1"/>
  <c r="AG284" i="1"/>
  <c r="Z204" i="1"/>
  <c r="AA204" i="1" s="1"/>
  <c r="Z217" i="1"/>
  <c r="AA217" i="1" s="1"/>
  <c r="Z225" i="1"/>
  <c r="AA225" i="1" s="1"/>
  <c r="Z233" i="1"/>
  <c r="AA233" i="1" s="1"/>
  <c r="R241" i="1"/>
  <c r="U252" i="1"/>
  <c r="V252" i="1" s="1"/>
  <c r="AB252" i="1"/>
  <c r="K252" i="1"/>
  <c r="H252" i="1"/>
  <c r="AE262" i="1"/>
  <c r="AD262" i="1"/>
  <c r="AB272" i="1"/>
  <c r="K272" i="1"/>
  <c r="H272" i="1"/>
  <c r="AB276" i="1"/>
  <c r="K276" i="1"/>
  <c r="H276" i="1"/>
  <c r="H296" i="1"/>
  <c r="U296" i="1"/>
  <c r="V296" i="1" s="1"/>
  <c r="AB296" i="1"/>
  <c r="K296" i="1"/>
  <c r="Z296" i="1"/>
  <c r="AA296" i="1" s="1"/>
  <c r="P296" i="1"/>
  <c r="U306" i="1"/>
  <c r="V306" i="1" s="1"/>
  <c r="P306" i="1"/>
  <c r="AB306" i="1"/>
  <c r="K306" i="1"/>
  <c r="H306" i="1"/>
  <c r="Z306" i="1"/>
  <c r="AA306" i="1" s="1"/>
  <c r="O364" i="1"/>
  <c r="H204" i="1"/>
  <c r="H217" i="1"/>
  <c r="H225" i="1"/>
  <c r="H233" i="1"/>
  <c r="K239" i="1"/>
  <c r="H240" i="1"/>
  <c r="U241" i="1"/>
  <c r="V241" i="1" s="1"/>
  <c r="P252" i="1"/>
  <c r="R254" i="1"/>
  <c r="Y254" i="1"/>
  <c r="P272" i="1"/>
  <c r="Z273" i="1"/>
  <c r="AA273" i="1" s="1"/>
  <c r="P276" i="1"/>
  <c r="Z277" i="1"/>
  <c r="AA277" i="1" s="1"/>
  <c r="Z237" i="1"/>
  <c r="AA237" i="1" s="1"/>
  <c r="U240" i="1"/>
  <c r="Z241" i="1"/>
  <c r="AA241" i="1" s="1"/>
  <c r="Y247" i="1"/>
  <c r="R247" i="1"/>
  <c r="AJ262" i="1"/>
  <c r="Q265" i="1"/>
  <c r="R269" i="1"/>
  <c r="R271" i="1"/>
  <c r="U272" i="1"/>
  <c r="V272" i="1" s="1"/>
  <c r="AB275" i="1"/>
  <c r="K275" i="1"/>
  <c r="H275" i="1"/>
  <c r="U276" i="1"/>
  <c r="V276" i="1" s="1"/>
  <c r="P250" i="1"/>
  <c r="AB287" i="1"/>
  <c r="K287" i="1"/>
  <c r="AE288" i="1"/>
  <c r="AI288" i="1" s="1"/>
  <c r="AG289" i="1"/>
  <c r="AI289" i="1" s="1"/>
  <c r="AD289" i="1"/>
  <c r="P291" i="1"/>
  <c r="H291" i="1"/>
  <c r="R316" i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P287" i="1"/>
  <c r="AJ289" i="1"/>
  <c r="U291" i="1"/>
  <c r="V291" i="1" s="1"/>
  <c r="U299" i="1"/>
  <c r="V299" i="1" s="1"/>
  <c r="AB299" i="1"/>
  <c r="K299" i="1"/>
  <c r="H299" i="1"/>
  <c r="U301" i="1"/>
  <c r="V301" i="1" s="1"/>
  <c r="AB301" i="1"/>
  <c r="K301" i="1"/>
  <c r="H301" i="1"/>
  <c r="U303" i="1"/>
  <c r="V303" i="1" s="1"/>
  <c r="AB303" i="1"/>
  <c r="K303" i="1"/>
  <c r="H303" i="1"/>
  <c r="L364" i="1"/>
  <c r="U251" i="1"/>
  <c r="V251" i="1" s="1"/>
  <c r="H255" i="1"/>
  <c r="H256" i="1"/>
  <c r="H257" i="1"/>
  <c r="H258" i="1"/>
  <c r="H259" i="1"/>
  <c r="H260" i="1"/>
  <c r="H261" i="1"/>
  <c r="H262" i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1" i="1"/>
  <c r="AA271" i="1" s="1"/>
  <c r="U281" i="1"/>
  <c r="V281" i="1" s="1"/>
  <c r="Y286" i="1"/>
  <c r="AB286" i="1"/>
  <c r="U288" i="1"/>
  <c r="V288" i="1" s="1"/>
  <c r="P288" i="1"/>
  <c r="H288" i="1"/>
  <c r="U289" i="1"/>
  <c r="V289" i="1" s="1"/>
  <c r="P289" i="1"/>
  <c r="H289" i="1"/>
  <c r="P299" i="1"/>
  <c r="P301" i="1"/>
  <c r="P303" i="1"/>
  <c r="U307" i="1"/>
  <c r="V307" i="1" s="1"/>
  <c r="P307" i="1"/>
  <c r="AB307" i="1"/>
  <c r="K307" i="1"/>
  <c r="H307" i="1"/>
  <c r="U311" i="1"/>
  <c r="V311" i="1" s="1"/>
  <c r="P311" i="1"/>
  <c r="AB311" i="1"/>
  <c r="K311" i="1"/>
  <c r="H311" i="1"/>
  <c r="N364" i="1"/>
  <c r="Z250" i="1"/>
  <c r="AA250" i="1" s="1"/>
  <c r="AB269" i="1"/>
  <c r="K271" i="1"/>
  <c r="AB271" i="1"/>
  <c r="Z282" i="1"/>
  <c r="AA282" i="1" s="1"/>
  <c r="K286" i="1"/>
  <c r="Z287" i="1"/>
  <c r="AA287" i="1" s="1"/>
  <c r="AB291" i="1"/>
  <c r="U304" i="1"/>
  <c r="V304" i="1" s="1"/>
  <c r="P304" i="1"/>
  <c r="AB304" i="1"/>
  <c r="K304" i="1"/>
  <c r="H304" i="1"/>
  <c r="U308" i="1"/>
  <c r="V308" i="1" s="1"/>
  <c r="P308" i="1"/>
  <c r="AB308" i="1"/>
  <c r="K308" i="1"/>
  <c r="H308" i="1"/>
  <c r="AB282" i="1"/>
  <c r="Q286" i="1"/>
  <c r="AD297" i="1"/>
  <c r="U300" i="1"/>
  <c r="V300" i="1" s="1"/>
  <c r="AB300" i="1"/>
  <c r="K300" i="1"/>
  <c r="H300" i="1"/>
  <c r="U302" i="1"/>
  <c r="V302" i="1" s="1"/>
  <c r="AB302" i="1"/>
  <c r="K302" i="1"/>
  <c r="H302" i="1"/>
  <c r="R302" i="1"/>
  <c r="U305" i="1"/>
  <c r="V305" i="1" s="1"/>
  <c r="P305" i="1"/>
  <c r="AB305" i="1"/>
  <c r="K305" i="1"/>
  <c r="H305" i="1"/>
  <c r="U309" i="1"/>
  <c r="V309" i="1" s="1"/>
  <c r="P309" i="1"/>
  <c r="AB309" i="1"/>
  <c r="K309" i="1"/>
  <c r="H309" i="1"/>
  <c r="AG290" i="1"/>
  <c r="P292" i="1"/>
  <c r="Z298" i="1"/>
  <c r="AA298" i="1" s="1"/>
  <c r="U319" i="1"/>
  <c r="V319" i="1" s="1"/>
  <c r="P320" i="1"/>
  <c r="AB320" i="1"/>
  <c r="K320" i="1"/>
  <c r="P334" i="1"/>
  <c r="AB334" i="1"/>
  <c r="K334" i="1"/>
  <c r="H334" i="1"/>
  <c r="U334" i="1"/>
  <c r="V334" i="1" s="1"/>
  <c r="AG361" i="1"/>
  <c r="AE361" i="1"/>
  <c r="AD361" i="1"/>
  <c r="AJ361" i="1"/>
  <c r="AC364" i="1"/>
  <c r="Z312" i="1"/>
  <c r="AA312" i="1" s="1"/>
  <c r="Z313" i="1"/>
  <c r="AA313" i="1" s="1"/>
  <c r="Z314" i="1"/>
  <c r="AA314" i="1" s="1"/>
  <c r="Z321" i="1"/>
  <c r="AA321" i="1" s="1"/>
  <c r="P321" i="1"/>
  <c r="AB321" i="1"/>
  <c r="K321" i="1"/>
  <c r="AD332" i="1"/>
  <c r="P298" i="1"/>
  <c r="H312" i="1"/>
  <c r="H313" i="1"/>
  <c r="H314" i="1"/>
  <c r="P318" i="1"/>
  <c r="AB318" i="1"/>
  <c r="H321" i="1"/>
  <c r="AG353" i="1"/>
  <c r="Z316" i="1"/>
  <c r="AA316" i="1" s="1"/>
  <c r="J364" i="1"/>
  <c r="Z292" i="1"/>
  <c r="AA292" i="1" s="1"/>
  <c r="P312" i="1"/>
  <c r="P313" i="1"/>
  <c r="AE313" i="1"/>
  <c r="AI313" i="1" s="1"/>
  <c r="P314" i="1"/>
  <c r="H316" i="1"/>
  <c r="Z320" i="1"/>
  <c r="AA320" i="1" s="1"/>
  <c r="K316" i="1"/>
  <c r="AB316" i="1"/>
  <c r="P319" i="1"/>
  <c r="AB319" i="1"/>
  <c r="K319" i="1"/>
  <c r="AG362" i="1"/>
  <c r="AE362" i="1"/>
  <c r="AD362" i="1"/>
  <c r="AJ362" i="1"/>
  <c r="K292" i="1"/>
  <c r="K317" i="1"/>
  <c r="H319" i="1"/>
  <c r="M364" i="1"/>
  <c r="Q360" i="1"/>
  <c r="Y360" i="1"/>
  <c r="I364" i="1"/>
  <c r="K322" i="1"/>
  <c r="AB322" i="1"/>
  <c r="K323" i="1"/>
  <c r="AB323" i="1"/>
  <c r="K324" i="1"/>
  <c r="AB324" i="1"/>
  <c r="K325" i="1"/>
  <c r="AB325" i="1"/>
  <c r="K327" i="1"/>
  <c r="AB327" i="1"/>
  <c r="H328" i="1"/>
  <c r="Z329" i="1"/>
  <c r="AA329" i="1" s="1"/>
  <c r="Z330" i="1"/>
  <c r="AA330" i="1" s="1"/>
  <c r="W333" i="1"/>
  <c r="X333" i="1" s="1"/>
  <c r="P336" i="1"/>
  <c r="P337" i="1"/>
  <c r="P339" i="1"/>
  <c r="K340" i="1"/>
  <c r="AB340" i="1"/>
  <c r="K342" i="1"/>
  <c r="AB342" i="1"/>
  <c r="H343" i="1"/>
  <c r="Z344" i="1"/>
  <c r="AA344" i="1" s="1"/>
  <c r="Z345" i="1"/>
  <c r="AA345" i="1" s="1"/>
  <c r="K347" i="1"/>
  <c r="AB347" i="1"/>
  <c r="K348" i="1"/>
  <c r="AB348" i="1"/>
  <c r="AB349" i="1"/>
  <c r="V354" i="1"/>
  <c r="R355" i="1"/>
  <c r="H357" i="1"/>
  <c r="Z358" i="1"/>
  <c r="AA358" i="1" s="1"/>
  <c r="V361" i="1"/>
  <c r="V362" i="1"/>
  <c r="P322" i="1"/>
  <c r="U323" i="1"/>
  <c r="P324" i="1"/>
  <c r="P325" i="1"/>
  <c r="P327" i="1"/>
  <c r="K328" i="1"/>
  <c r="AB328" i="1"/>
  <c r="AG336" i="1"/>
  <c r="P340" i="1"/>
  <c r="P342" i="1"/>
  <c r="K343" i="1"/>
  <c r="AB343" i="1"/>
  <c r="H344" i="1"/>
  <c r="H345" i="1"/>
  <c r="Z351" i="1"/>
  <c r="AA351" i="1" s="1"/>
  <c r="Z352" i="1"/>
  <c r="AA352" i="1" s="1"/>
  <c r="K357" i="1"/>
  <c r="AB357" i="1"/>
  <c r="Z359" i="1"/>
  <c r="AA359" i="1" s="1"/>
  <c r="U328" i="1"/>
  <c r="U336" i="1"/>
  <c r="V336" i="1" s="1"/>
  <c r="U337" i="1"/>
  <c r="V337" i="1" s="1"/>
  <c r="U339" i="1"/>
  <c r="V339" i="1" s="1"/>
  <c r="P343" i="1"/>
  <c r="K344" i="1"/>
  <c r="AB344" i="1"/>
  <c r="K345" i="1"/>
  <c r="AB345" i="1"/>
  <c r="Q348" i="1"/>
  <c r="H351" i="1"/>
  <c r="H352" i="1"/>
  <c r="Z353" i="1"/>
  <c r="AA353" i="1" s="1"/>
  <c r="Q356" i="1"/>
  <c r="P357" i="1"/>
  <c r="H359" i="1"/>
  <c r="Z360" i="1"/>
  <c r="AA360" i="1" s="1"/>
  <c r="G363" i="1"/>
  <c r="U322" i="1"/>
  <c r="V322" i="1" s="1"/>
  <c r="U324" i="1"/>
  <c r="V324" i="1" s="1"/>
  <c r="Z333" i="1"/>
  <c r="AA333" i="1" s="1"/>
  <c r="U340" i="1"/>
  <c r="V340" i="1" s="1"/>
  <c r="U342" i="1"/>
  <c r="V342" i="1" s="1"/>
  <c r="P344" i="1"/>
  <c r="P345" i="1"/>
  <c r="U347" i="1"/>
  <c r="U348" i="1"/>
  <c r="V348" i="1" s="1"/>
  <c r="U349" i="1"/>
  <c r="V349" i="1" s="1"/>
  <c r="U350" i="1"/>
  <c r="V350" i="1" s="1"/>
  <c r="K351" i="1"/>
  <c r="AB351" i="1"/>
  <c r="K352" i="1"/>
  <c r="AB352" i="1"/>
  <c r="H353" i="1"/>
  <c r="AG356" i="1"/>
  <c r="P358" i="1"/>
  <c r="K359" i="1"/>
  <c r="AB359" i="1"/>
  <c r="H360" i="1"/>
  <c r="Z336" i="1"/>
  <c r="AA336" i="1" s="1"/>
  <c r="Z337" i="1"/>
  <c r="AA337" i="1" s="1"/>
  <c r="Z339" i="1"/>
  <c r="AA339" i="1" s="1"/>
  <c r="Z322" i="1"/>
  <c r="AA322" i="1" s="1"/>
  <c r="Z323" i="1"/>
  <c r="AA323" i="1" s="1"/>
  <c r="Z324" i="1"/>
  <c r="AA324" i="1" s="1"/>
  <c r="AI356" i="1" l="1"/>
  <c r="AE337" i="1"/>
  <c r="Y142" i="1"/>
  <c r="U143" i="1"/>
  <c r="U41" i="1"/>
  <c r="AJ353" i="1"/>
  <c r="V143" i="1"/>
  <c r="AD353" i="1"/>
  <c r="Y227" i="1"/>
  <c r="AG337" i="1"/>
  <c r="AJ264" i="1"/>
  <c r="AE264" i="1"/>
  <c r="AI264" i="1" s="1"/>
  <c r="Y230" i="1"/>
  <c r="AJ313" i="1"/>
  <c r="AJ332" i="1"/>
  <c r="V41" i="1"/>
  <c r="Y262" i="1"/>
  <c r="AP365" i="1"/>
  <c r="Y218" i="1"/>
  <c r="AJ330" i="1"/>
  <c r="O365" i="1"/>
  <c r="Y283" i="1"/>
  <c r="Q128" i="1"/>
  <c r="AC365" i="1"/>
  <c r="P211" i="1"/>
  <c r="Y61" i="1"/>
  <c r="AD330" i="1"/>
  <c r="Y359" i="1"/>
  <c r="AE314" i="1"/>
  <c r="AQ365" i="1"/>
  <c r="AE290" i="1"/>
  <c r="AI290" i="1" s="1"/>
  <c r="AM365" i="1"/>
  <c r="AI292" i="1"/>
  <c r="V174" i="1"/>
  <c r="AI265" i="1"/>
  <c r="Y249" i="1"/>
  <c r="AD339" i="1"/>
  <c r="Q359" i="1"/>
  <c r="H138" i="1"/>
  <c r="R74" i="1"/>
  <c r="Y40" i="1"/>
  <c r="P147" i="1"/>
  <c r="Y190" i="1"/>
  <c r="Y71" i="1"/>
  <c r="M365" i="1"/>
  <c r="AG298" i="1"/>
  <c r="V256" i="1"/>
  <c r="Q25" i="1"/>
  <c r="Q26" i="1" s="1"/>
  <c r="U30" i="1"/>
  <c r="AD333" i="1"/>
  <c r="Y146" i="1"/>
  <c r="P91" i="1"/>
  <c r="K74" i="1"/>
  <c r="AE312" i="1"/>
  <c r="AI312" i="1" s="1"/>
  <c r="AD250" i="1"/>
  <c r="R62" i="1"/>
  <c r="R65" i="1" s="1"/>
  <c r="K158" i="1"/>
  <c r="Y77" i="1"/>
  <c r="P74" i="1"/>
  <c r="AE336" i="1"/>
  <c r="AI336" i="1" s="1"/>
  <c r="AJ312" i="1"/>
  <c r="AG250" i="1"/>
  <c r="AI250" i="1" s="1"/>
  <c r="Y284" i="1"/>
  <c r="P65" i="1"/>
  <c r="R87" i="1"/>
  <c r="AG332" i="1"/>
  <c r="AI332" i="1" s="1"/>
  <c r="AJ260" i="1"/>
  <c r="AJ257" i="1"/>
  <c r="V249" i="1"/>
  <c r="AD280" i="1"/>
  <c r="Y179" i="1"/>
  <c r="Y214" i="1"/>
  <c r="V42" i="1"/>
  <c r="V44" i="1" s="1"/>
  <c r="Y42" i="1"/>
  <c r="Y44" i="1" s="1"/>
  <c r="AE281" i="1"/>
  <c r="Y28" i="1"/>
  <c r="AD358" i="1"/>
  <c r="AE260" i="1"/>
  <c r="G175" i="1"/>
  <c r="AG280" i="1"/>
  <c r="AI280" i="1" s="1"/>
  <c r="Y206" i="1"/>
  <c r="R145" i="1"/>
  <c r="Y46" i="1"/>
  <c r="AG329" i="1"/>
  <c r="AJ281" i="1"/>
  <c r="Y315" i="1"/>
  <c r="Q211" i="1"/>
  <c r="AH329" i="1"/>
  <c r="Y151" i="1"/>
  <c r="Y267" i="1"/>
  <c r="Y106" i="1"/>
  <c r="H41" i="1"/>
  <c r="AG281" i="1"/>
  <c r="Y263" i="1"/>
  <c r="Q30" i="1"/>
  <c r="U174" i="1"/>
  <c r="Y300" i="1"/>
  <c r="Y220" i="1"/>
  <c r="AI259" i="1"/>
  <c r="AG360" i="1"/>
  <c r="AI360" i="1" s="1"/>
  <c r="Y317" i="1"/>
  <c r="L365" i="1"/>
  <c r="AE284" i="1"/>
  <c r="AJ259" i="1"/>
  <c r="Y152" i="1"/>
  <c r="Y353" i="1"/>
  <c r="V158" i="1"/>
  <c r="Q34" i="1"/>
  <c r="Q35" i="1" s="1"/>
  <c r="P35" i="1"/>
  <c r="U55" i="1"/>
  <c r="AJ256" i="1"/>
  <c r="R220" i="1"/>
  <c r="AI135" i="1"/>
  <c r="AD40" i="1"/>
  <c r="Y115" i="1"/>
  <c r="Y119" i="1"/>
  <c r="AE256" i="1"/>
  <c r="AI256" i="1" s="1"/>
  <c r="AJ360" i="1"/>
  <c r="V211" i="1"/>
  <c r="Y165" i="1"/>
  <c r="Y154" i="1"/>
  <c r="AB41" i="1"/>
  <c r="AB97" i="1" s="1"/>
  <c r="Y65" i="1"/>
  <c r="V30" i="1"/>
  <c r="Y222" i="1"/>
  <c r="AD360" i="1"/>
  <c r="H158" i="1"/>
  <c r="R191" i="1"/>
  <c r="AE40" i="1"/>
  <c r="AI40" i="1" s="1"/>
  <c r="AG41" i="1"/>
  <c r="K55" i="1"/>
  <c r="AJ40" i="1"/>
  <c r="AJ41" i="1" s="1"/>
  <c r="AJ97" i="1" s="1"/>
  <c r="U35" i="1"/>
  <c r="AA74" i="1"/>
  <c r="I365" i="1"/>
  <c r="J365" i="1"/>
  <c r="R352" i="1"/>
  <c r="R363" i="1" s="1"/>
  <c r="N365" i="1"/>
  <c r="AJ288" i="1"/>
  <c r="Y258" i="1"/>
  <c r="H74" i="1"/>
  <c r="Y85" i="1"/>
  <c r="V52" i="1"/>
  <c r="V55" i="1" s="1"/>
  <c r="Y25" i="1"/>
  <c r="Y26" i="1" s="1"/>
  <c r="AI25" i="1"/>
  <c r="AI26" i="1" s="1"/>
  <c r="Y271" i="1"/>
  <c r="AG358" i="1"/>
  <c r="AI358" i="1" s="1"/>
  <c r="AJ358" i="1"/>
  <c r="Y332" i="1"/>
  <c r="H124" i="1"/>
  <c r="Q104" i="1"/>
  <c r="Y120" i="1"/>
  <c r="X346" i="1"/>
  <c r="AJ250" i="1"/>
  <c r="Y236" i="1"/>
  <c r="P169" i="1"/>
  <c r="Y161" i="1"/>
  <c r="Y90" i="1"/>
  <c r="K174" i="1"/>
  <c r="Y266" i="1"/>
  <c r="R119" i="1"/>
  <c r="K30" i="1"/>
  <c r="Y118" i="1"/>
  <c r="H30" i="1"/>
  <c r="Y219" i="1"/>
  <c r="Y259" i="1"/>
  <c r="Y275" i="1"/>
  <c r="Y285" i="1"/>
  <c r="V222" i="1"/>
  <c r="Y201" i="1"/>
  <c r="V74" i="1"/>
  <c r="Y83" i="1"/>
  <c r="AI293" i="1"/>
  <c r="Y31" i="1"/>
  <c r="Y32" i="1" s="1"/>
  <c r="Q279" i="1"/>
  <c r="Y279" i="1"/>
  <c r="Y331" i="1"/>
  <c r="Q199" i="1"/>
  <c r="Q202" i="1" s="1"/>
  <c r="H169" i="1"/>
  <c r="Y29" i="1"/>
  <c r="K143" i="1"/>
  <c r="Q129" i="1"/>
  <c r="Y129" i="1"/>
  <c r="K169" i="1"/>
  <c r="H104" i="1"/>
  <c r="Q159" i="1"/>
  <c r="AJ333" i="1"/>
  <c r="AH333" i="1"/>
  <c r="AI333" i="1" s="1"/>
  <c r="P87" i="1"/>
  <c r="AE279" i="1"/>
  <c r="AI279" i="1" s="1"/>
  <c r="Y297" i="1"/>
  <c r="Y290" i="1"/>
  <c r="AJ279" i="1"/>
  <c r="Y260" i="1"/>
  <c r="AA248" i="1"/>
  <c r="Y255" i="1"/>
  <c r="P124" i="1"/>
  <c r="P30" i="1"/>
  <c r="Y53" i="1"/>
  <c r="P32" i="1"/>
  <c r="AA26" i="1"/>
  <c r="Z30" i="1"/>
  <c r="AI294" i="1"/>
  <c r="H211" i="1"/>
  <c r="P143" i="1"/>
  <c r="U169" i="1"/>
  <c r="G97" i="1"/>
  <c r="Y34" i="1"/>
  <c r="Y35" i="1" s="1"/>
  <c r="Y193" i="1"/>
  <c r="Y329" i="1"/>
  <c r="V329" i="1"/>
  <c r="AE266" i="1"/>
  <c r="AJ266" i="1"/>
  <c r="AG266" i="1"/>
  <c r="AJ297" i="1"/>
  <c r="AG297" i="1"/>
  <c r="AI297" i="1" s="1"/>
  <c r="V257" i="1"/>
  <c r="Y257" i="1"/>
  <c r="AA363" i="1"/>
  <c r="AJ261" i="1"/>
  <c r="AI257" i="1"/>
  <c r="Y189" i="1"/>
  <c r="AA169" i="1"/>
  <c r="H96" i="1"/>
  <c r="Y86" i="1"/>
  <c r="Q261" i="1"/>
  <c r="Y261" i="1"/>
  <c r="Y316" i="1"/>
  <c r="AE261" i="1"/>
  <c r="AI261" i="1" s="1"/>
  <c r="K138" i="1"/>
  <c r="H147" i="1"/>
  <c r="K87" i="1"/>
  <c r="Y78" i="1"/>
  <c r="AJ298" i="1"/>
  <c r="AE298" i="1"/>
  <c r="Y265" i="1"/>
  <c r="Y264" i="1"/>
  <c r="Y185" i="1"/>
  <c r="Q185" i="1"/>
  <c r="Y133" i="1"/>
  <c r="Q133" i="1"/>
  <c r="Y239" i="1"/>
  <c r="R239" i="1"/>
  <c r="H202" i="1"/>
  <c r="Q82" i="1"/>
  <c r="Y82" i="1"/>
  <c r="Z363" i="1"/>
  <c r="AI353" i="1"/>
  <c r="AI260" i="1"/>
  <c r="K248" i="1"/>
  <c r="AJ258" i="1"/>
  <c r="K147" i="1"/>
  <c r="V216" i="1"/>
  <c r="Y216" i="1"/>
  <c r="R238" i="1"/>
  <c r="Y238" i="1"/>
  <c r="V181" i="1"/>
  <c r="Y181" i="1"/>
  <c r="AJ128" i="1"/>
  <c r="AG128" i="1"/>
  <c r="Q224" i="1"/>
  <c r="Y224" i="1"/>
  <c r="AI262" i="1"/>
  <c r="Y215" i="1"/>
  <c r="AE258" i="1"/>
  <c r="AI258" i="1" s="1"/>
  <c r="U158" i="1"/>
  <c r="AG339" i="1"/>
  <c r="AI339" i="1" s="1"/>
  <c r="AJ339" i="1"/>
  <c r="AE285" i="1"/>
  <c r="AG285" i="1"/>
  <c r="AD285" i="1"/>
  <c r="AJ285" i="1"/>
  <c r="Y112" i="1"/>
  <c r="R112" i="1"/>
  <c r="AG331" i="1"/>
  <c r="AE331" i="1"/>
  <c r="AD331" i="1"/>
  <c r="AJ331" i="1"/>
  <c r="Y351" i="1"/>
  <c r="K104" i="1"/>
  <c r="AE315" i="1"/>
  <c r="AJ315" i="1"/>
  <c r="AG315" i="1"/>
  <c r="AD315" i="1"/>
  <c r="AE263" i="1"/>
  <c r="AJ263" i="1"/>
  <c r="AG263" i="1"/>
  <c r="P363" i="1"/>
  <c r="H363" i="1"/>
  <c r="H248" i="1"/>
  <c r="H87" i="1"/>
  <c r="Y280" i="1"/>
  <c r="R280" i="1"/>
  <c r="V109" i="1"/>
  <c r="Y109" i="1"/>
  <c r="AE317" i="1"/>
  <c r="AI317" i="1" s="1"/>
  <c r="AJ317" i="1"/>
  <c r="V232" i="1"/>
  <c r="Y232" i="1"/>
  <c r="Y330" i="1"/>
  <c r="V330" i="1"/>
  <c r="AE267" i="1"/>
  <c r="AJ267" i="1"/>
  <c r="AG267" i="1"/>
  <c r="W96" i="1"/>
  <c r="W97" i="1" s="1"/>
  <c r="Y93" i="1"/>
  <c r="AG314" i="1"/>
  <c r="AI314" i="1" s="1"/>
  <c r="AJ314" i="1"/>
  <c r="Y101" i="1"/>
  <c r="R101" i="1"/>
  <c r="Y80" i="1"/>
  <c r="Y184" i="1"/>
  <c r="R184" i="1"/>
  <c r="R213" i="1"/>
  <c r="Y213" i="1"/>
  <c r="Y357" i="1"/>
  <c r="Q357" i="1"/>
  <c r="Q322" i="1"/>
  <c r="Y322" i="1"/>
  <c r="AG348" i="1"/>
  <c r="AE348" i="1"/>
  <c r="AJ348" i="1"/>
  <c r="R336" i="1"/>
  <c r="Y336" i="1"/>
  <c r="AG319" i="1"/>
  <c r="AE319" i="1"/>
  <c r="AJ319" i="1"/>
  <c r="Y334" i="1"/>
  <c r="R334" i="1"/>
  <c r="AJ308" i="1"/>
  <c r="AG308" i="1"/>
  <c r="AE308" i="1"/>
  <c r="Y250" i="1"/>
  <c r="Q250" i="1"/>
  <c r="AJ275" i="1"/>
  <c r="AG275" i="1"/>
  <c r="AE275" i="1"/>
  <c r="AJ296" i="1"/>
  <c r="AG296" i="1"/>
  <c r="AE296" i="1"/>
  <c r="AD296" i="1"/>
  <c r="AI284" i="1"/>
  <c r="Z346" i="1"/>
  <c r="P346" i="1"/>
  <c r="R195" i="1"/>
  <c r="Y195" i="1"/>
  <c r="Z174" i="1"/>
  <c r="AA171" i="1"/>
  <c r="AA174" i="1" s="1"/>
  <c r="AA138" i="1"/>
  <c r="U197" i="1"/>
  <c r="V178" i="1"/>
  <c r="Y237" i="1"/>
  <c r="Q169" i="1"/>
  <c r="Y111" i="1"/>
  <c r="Q111" i="1"/>
  <c r="Z124" i="1"/>
  <c r="AA106" i="1"/>
  <c r="AA124" i="1" s="1"/>
  <c r="Y81" i="1"/>
  <c r="Q81" i="1"/>
  <c r="Z55" i="1"/>
  <c r="AA52" i="1"/>
  <c r="AA55" i="1" s="1"/>
  <c r="Y56" i="1"/>
  <c r="Y58" i="1" s="1"/>
  <c r="P58" i="1"/>
  <c r="Q56" i="1"/>
  <c r="Q58" i="1" s="1"/>
  <c r="Z74" i="1"/>
  <c r="K96" i="1"/>
  <c r="Y114" i="1"/>
  <c r="R114" i="1"/>
  <c r="AJ272" i="1"/>
  <c r="AG272" i="1"/>
  <c r="AE272" i="1"/>
  <c r="AA149" i="1"/>
  <c r="AA158" i="1" s="1"/>
  <c r="Z158" i="1"/>
  <c r="Y150" i="1"/>
  <c r="R150" i="1"/>
  <c r="R158" i="1" s="1"/>
  <c r="P248" i="1"/>
  <c r="U87" i="1"/>
  <c r="V75" i="1"/>
  <c r="V87" i="1" s="1"/>
  <c r="AA31" i="1"/>
  <c r="AA32" i="1" s="1"/>
  <c r="Z32" i="1"/>
  <c r="Y358" i="1"/>
  <c r="Q358" i="1"/>
  <c r="Y328" i="1"/>
  <c r="V328" i="1"/>
  <c r="AJ343" i="1"/>
  <c r="AE343" i="1"/>
  <c r="AD343" i="1"/>
  <c r="AG343" i="1"/>
  <c r="AJ328" i="1"/>
  <c r="AG328" i="1"/>
  <c r="AD328" i="1"/>
  <c r="AH328" i="1"/>
  <c r="AB363" i="1"/>
  <c r="AG347" i="1"/>
  <c r="AE347" i="1"/>
  <c r="AJ347" i="1"/>
  <c r="W346" i="1"/>
  <c r="AI362" i="1"/>
  <c r="AD316" i="1"/>
  <c r="AJ316" i="1"/>
  <c r="AE316" i="1"/>
  <c r="AG316" i="1"/>
  <c r="Y348" i="1"/>
  <c r="R318" i="1"/>
  <c r="Y318" i="1"/>
  <c r="Y350" i="1"/>
  <c r="AJ305" i="1"/>
  <c r="AG305" i="1"/>
  <c r="AE305" i="1"/>
  <c r="AJ307" i="1"/>
  <c r="AG307" i="1"/>
  <c r="AE307" i="1"/>
  <c r="AJ301" i="1"/>
  <c r="AG301" i="1"/>
  <c r="AE301" i="1"/>
  <c r="Y281" i="1"/>
  <c r="AJ306" i="1"/>
  <c r="AG306" i="1"/>
  <c r="AE306" i="1"/>
  <c r="Y241" i="1"/>
  <c r="AI283" i="1"/>
  <c r="Y233" i="1"/>
  <c r="R233" i="1"/>
  <c r="W169" i="1"/>
  <c r="W175" i="1" s="1"/>
  <c r="X162" i="1"/>
  <c r="X169" i="1" s="1"/>
  <c r="X175" i="1" s="1"/>
  <c r="AI128" i="1"/>
  <c r="Y127" i="1"/>
  <c r="Q127" i="1"/>
  <c r="K124" i="1"/>
  <c r="G148" i="1"/>
  <c r="R126" i="1"/>
  <c r="R138" i="1" s="1"/>
  <c r="Y126" i="1"/>
  <c r="Y103" i="1"/>
  <c r="R103" i="1"/>
  <c r="AA42" i="1"/>
  <c r="AA44" i="1" s="1"/>
  <c r="Z44" i="1"/>
  <c r="Y102" i="1"/>
  <c r="Y48" i="1"/>
  <c r="Q48" i="1"/>
  <c r="Q49" i="1" s="1"/>
  <c r="Y92" i="1"/>
  <c r="Q92" i="1"/>
  <c r="Q96" i="1" s="1"/>
  <c r="P96" i="1"/>
  <c r="U74" i="1"/>
  <c r="V50" i="1"/>
  <c r="V51" i="1" s="1"/>
  <c r="U51" i="1"/>
  <c r="Z26" i="1"/>
  <c r="AG318" i="1"/>
  <c r="AE318" i="1"/>
  <c r="AJ318" i="1"/>
  <c r="AJ344" i="1"/>
  <c r="AE344" i="1"/>
  <c r="AG344" i="1"/>
  <c r="AG324" i="1"/>
  <c r="AE324" i="1"/>
  <c r="AJ324" i="1"/>
  <c r="Q314" i="1"/>
  <c r="Y314" i="1"/>
  <c r="AG320" i="1"/>
  <c r="AE320" i="1"/>
  <c r="AJ320" i="1"/>
  <c r="R305" i="1"/>
  <c r="Y305" i="1"/>
  <c r="AJ302" i="1"/>
  <c r="AG302" i="1"/>
  <c r="AE302" i="1"/>
  <c r="R307" i="1"/>
  <c r="Y307" i="1"/>
  <c r="Y287" i="1"/>
  <c r="R287" i="1"/>
  <c r="Y276" i="1"/>
  <c r="Q276" i="1"/>
  <c r="R306" i="1"/>
  <c r="Y306" i="1"/>
  <c r="Y277" i="1"/>
  <c r="Q277" i="1"/>
  <c r="Z211" i="1"/>
  <c r="AA140" i="1"/>
  <c r="AA143" i="1" s="1"/>
  <c r="Z143" i="1"/>
  <c r="Y231" i="1"/>
  <c r="AJ278" i="1"/>
  <c r="AF278" i="1"/>
  <c r="AG278" i="1"/>
  <c r="AD278" i="1"/>
  <c r="Y149" i="1"/>
  <c r="P158" i="1"/>
  <c r="Q149" i="1"/>
  <c r="Y168" i="1"/>
  <c r="P138" i="1"/>
  <c r="R147" i="1"/>
  <c r="V99" i="1"/>
  <c r="V104" i="1" s="1"/>
  <c r="U104" i="1"/>
  <c r="V89" i="1"/>
  <c r="V91" i="1" s="1"/>
  <c r="U91" i="1"/>
  <c r="AA34" i="1"/>
  <c r="AA35" i="1" s="1"/>
  <c r="Y117" i="1"/>
  <c r="R117" i="1"/>
  <c r="Y79" i="1"/>
  <c r="Q79" i="1"/>
  <c r="P49" i="1"/>
  <c r="Y45" i="1"/>
  <c r="R45" i="1"/>
  <c r="R49" i="1" s="1"/>
  <c r="U96" i="1"/>
  <c r="V92" i="1"/>
  <c r="V96" i="1" s="1"/>
  <c r="Q44" i="1"/>
  <c r="AD291" i="1"/>
  <c r="AJ291" i="1"/>
  <c r="AE291" i="1"/>
  <c r="AG291" i="1"/>
  <c r="Z138" i="1"/>
  <c r="AJ357" i="1"/>
  <c r="AE357" i="1"/>
  <c r="AD357" i="1"/>
  <c r="AG357" i="1"/>
  <c r="Y342" i="1"/>
  <c r="Q342" i="1"/>
  <c r="R339" i="1"/>
  <c r="Y339" i="1"/>
  <c r="AG321" i="1"/>
  <c r="AE321" i="1"/>
  <c r="AJ321" i="1"/>
  <c r="R320" i="1"/>
  <c r="Y320" i="1"/>
  <c r="Y288" i="1"/>
  <c r="R288" i="1"/>
  <c r="Y273" i="1"/>
  <c r="Q273" i="1"/>
  <c r="H346" i="1"/>
  <c r="Y225" i="1"/>
  <c r="Q225" i="1"/>
  <c r="Y274" i="1"/>
  <c r="Q274" i="1"/>
  <c r="U211" i="1"/>
  <c r="U147" i="1"/>
  <c r="V145" i="1"/>
  <c r="V147" i="1" s="1"/>
  <c r="Q221" i="1"/>
  <c r="Y221" i="1"/>
  <c r="Y180" i="1"/>
  <c r="Q180" i="1"/>
  <c r="Y182" i="1"/>
  <c r="Q182" i="1"/>
  <c r="Y121" i="1"/>
  <c r="V121" i="1"/>
  <c r="V163" i="1"/>
  <c r="V169" i="1" s="1"/>
  <c r="Y163" i="1"/>
  <c r="V138" i="1"/>
  <c r="Y145" i="1"/>
  <c r="Y162" i="1"/>
  <c r="Y100" i="1"/>
  <c r="R100" i="1"/>
  <c r="Y116" i="1"/>
  <c r="Q116" i="1"/>
  <c r="Y123" i="1"/>
  <c r="Y75" i="1"/>
  <c r="AA50" i="1"/>
  <c r="AA51" i="1" s="1"/>
  <c r="Z51" i="1"/>
  <c r="Y99" i="1"/>
  <c r="Z91" i="1"/>
  <c r="Y69" i="1"/>
  <c r="Z96" i="1"/>
  <c r="AA92" i="1"/>
  <c r="AA96" i="1" s="1"/>
  <c r="Y94" i="1"/>
  <c r="AD41" i="1"/>
  <c r="AD97" i="1" s="1"/>
  <c r="U26" i="1"/>
  <c r="P21" i="1"/>
  <c r="Y7" i="1"/>
  <c r="Y21" i="1" s="1"/>
  <c r="R7" i="1"/>
  <c r="R21" i="1" s="1"/>
  <c r="AG325" i="1"/>
  <c r="AE325" i="1"/>
  <c r="AJ325" i="1"/>
  <c r="Y292" i="1"/>
  <c r="R292" i="1"/>
  <c r="Y291" i="1"/>
  <c r="R291" i="1"/>
  <c r="U363" i="1"/>
  <c r="V347" i="1"/>
  <c r="V363" i="1" s="1"/>
  <c r="Y327" i="1"/>
  <c r="Q327" i="1"/>
  <c r="G364" i="1"/>
  <c r="Y343" i="1"/>
  <c r="R343" i="1"/>
  <c r="Y340" i="1"/>
  <c r="Q340" i="1"/>
  <c r="Y325" i="1"/>
  <c r="Q325" i="1"/>
  <c r="AI337" i="1"/>
  <c r="AH323" i="1"/>
  <c r="AG323" i="1"/>
  <c r="AJ323" i="1"/>
  <c r="Y347" i="1"/>
  <c r="R313" i="1"/>
  <c r="Y313" i="1"/>
  <c r="Q321" i="1"/>
  <c r="Y321" i="1"/>
  <c r="AJ309" i="1"/>
  <c r="AG309" i="1"/>
  <c r="AE309" i="1"/>
  <c r="Y302" i="1"/>
  <c r="AG282" i="1"/>
  <c r="AJ282" i="1"/>
  <c r="AE282" i="1"/>
  <c r="AD282" i="1"/>
  <c r="AJ304" i="1"/>
  <c r="AG304" i="1"/>
  <c r="AE304" i="1"/>
  <c r="AD271" i="1"/>
  <c r="AJ271" i="1"/>
  <c r="AG271" i="1"/>
  <c r="AE271" i="1"/>
  <c r="AG311" i="1"/>
  <c r="AE311" i="1"/>
  <c r="AD311" i="1"/>
  <c r="AJ311" i="1"/>
  <c r="Q303" i="1"/>
  <c r="Y303" i="1"/>
  <c r="Y272" i="1"/>
  <c r="R272" i="1"/>
  <c r="R252" i="1"/>
  <c r="Y252" i="1"/>
  <c r="Y296" i="1"/>
  <c r="R296" i="1"/>
  <c r="Z202" i="1"/>
  <c r="AA198" i="1"/>
  <c r="AA202" i="1" s="1"/>
  <c r="AA211" i="1"/>
  <c r="K346" i="1"/>
  <c r="R187" i="1"/>
  <c r="Y187" i="1"/>
  <c r="V202" i="1"/>
  <c r="AE130" i="1"/>
  <c r="AE138" i="1" s="1"/>
  <c r="AE148" i="1" s="1"/>
  <c r="AJ130" i="1"/>
  <c r="AG130" i="1"/>
  <c r="AG138" i="1" s="1"/>
  <c r="AG148" i="1" s="1"/>
  <c r="AB138" i="1"/>
  <c r="AB148" i="1" s="1"/>
  <c r="Y194" i="1"/>
  <c r="Y140" i="1"/>
  <c r="Q140" i="1"/>
  <c r="Z248" i="1"/>
  <c r="Z169" i="1"/>
  <c r="U138" i="1"/>
  <c r="H197" i="1"/>
  <c r="U124" i="1"/>
  <c r="Y95" i="1"/>
  <c r="R95" i="1"/>
  <c r="R96" i="1" s="1"/>
  <c r="V45" i="1"/>
  <c r="V49" i="1" s="1"/>
  <c r="U49" i="1"/>
  <c r="P104" i="1"/>
  <c r="AA91" i="1"/>
  <c r="Y39" i="1"/>
  <c r="Q39" i="1"/>
  <c r="Q41" i="1" s="1"/>
  <c r="Q21" i="1"/>
  <c r="AJ345" i="1"/>
  <c r="AG345" i="1"/>
  <c r="AD345" i="1"/>
  <c r="AE345" i="1"/>
  <c r="AG340" i="1"/>
  <c r="AE340" i="1"/>
  <c r="AJ340" i="1"/>
  <c r="R319" i="1"/>
  <c r="Y319" i="1"/>
  <c r="Y289" i="1"/>
  <c r="R289" i="1"/>
  <c r="AJ273" i="1"/>
  <c r="AG273" i="1"/>
  <c r="AE273" i="1"/>
  <c r="U346" i="1"/>
  <c r="Y204" i="1"/>
  <c r="Y211" i="1" s="1"/>
  <c r="R204" i="1"/>
  <c r="R211" i="1" s="1"/>
  <c r="Q155" i="1"/>
  <c r="Y155" i="1"/>
  <c r="Y52" i="1"/>
  <c r="P55" i="1"/>
  <c r="Q52" i="1"/>
  <c r="Q55" i="1" s="1"/>
  <c r="AG352" i="1"/>
  <c r="AE352" i="1"/>
  <c r="AJ352" i="1"/>
  <c r="AD352" i="1"/>
  <c r="Y345" i="1"/>
  <c r="Q345" i="1"/>
  <c r="Y344" i="1"/>
  <c r="R344" i="1"/>
  <c r="Y324" i="1"/>
  <c r="R324" i="1"/>
  <c r="R337" i="1"/>
  <c r="Y337" i="1"/>
  <c r="Y333" i="1"/>
  <c r="Y349" i="1"/>
  <c r="AI361" i="1"/>
  <c r="R309" i="1"/>
  <c r="Y309" i="1"/>
  <c r="R304" i="1"/>
  <c r="Y304" i="1"/>
  <c r="Q311" i="1"/>
  <c r="Y311" i="1"/>
  <c r="R301" i="1"/>
  <c r="Y301" i="1"/>
  <c r="AJ286" i="1"/>
  <c r="AD286" i="1"/>
  <c r="AG286" i="1"/>
  <c r="AE286" i="1"/>
  <c r="AJ303" i="1"/>
  <c r="AG303" i="1"/>
  <c r="AE303" i="1"/>
  <c r="AJ299" i="1"/>
  <c r="AG299" i="1"/>
  <c r="AE299" i="1"/>
  <c r="AJ276" i="1"/>
  <c r="AG276" i="1"/>
  <c r="AE276" i="1"/>
  <c r="AG252" i="1"/>
  <c r="AE252" i="1"/>
  <c r="AJ252" i="1"/>
  <c r="AD252" i="1"/>
  <c r="AI255" i="1"/>
  <c r="W248" i="1"/>
  <c r="X215" i="1"/>
  <c r="X248" i="1" s="1"/>
  <c r="AJ310" i="1"/>
  <c r="AG310" i="1"/>
  <c r="AE310" i="1"/>
  <c r="AJ277" i="1"/>
  <c r="AG277" i="1"/>
  <c r="AE277" i="1"/>
  <c r="AB346" i="1"/>
  <c r="AJ249" i="1"/>
  <c r="AE249" i="1"/>
  <c r="AG249" i="1"/>
  <c r="AD249" i="1"/>
  <c r="Y217" i="1"/>
  <c r="Q217" i="1"/>
  <c r="Y188" i="1"/>
  <c r="Q188" i="1"/>
  <c r="Q141" i="1"/>
  <c r="Y141" i="1"/>
  <c r="S346" i="1"/>
  <c r="S364" i="1" s="1"/>
  <c r="Y278" i="1"/>
  <c r="T278" i="1"/>
  <c r="T346" i="1" s="1"/>
  <c r="T364" i="1" s="1"/>
  <c r="Y186" i="1"/>
  <c r="K197" i="1"/>
  <c r="AA75" i="1"/>
  <c r="AA87" i="1" s="1"/>
  <c r="Z87" i="1"/>
  <c r="Y122" i="1"/>
  <c r="Y107" i="1"/>
  <c r="Y72" i="1"/>
  <c r="Y74" i="1" s="1"/>
  <c r="AI38" i="1"/>
  <c r="K49" i="1"/>
  <c r="AG97" i="1"/>
  <c r="Y110" i="1"/>
  <c r="P41" i="1"/>
  <c r="Y54" i="1"/>
  <c r="Q308" i="1"/>
  <c r="Y308" i="1"/>
  <c r="AJ274" i="1"/>
  <c r="AG274" i="1"/>
  <c r="AE274" i="1"/>
  <c r="R229" i="1"/>
  <c r="Y229" i="1"/>
  <c r="K363" i="1"/>
  <c r="AG359" i="1"/>
  <c r="AE359" i="1"/>
  <c r="AJ359" i="1"/>
  <c r="AD359" i="1"/>
  <c r="AJ351" i="1"/>
  <c r="AG351" i="1"/>
  <c r="AE351" i="1"/>
  <c r="Y323" i="1"/>
  <c r="V323" i="1"/>
  <c r="AG349" i="1"/>
  <c r="AE349" i="1"/>
  <c r="AJ349" i="1"/>
  <c r="AJ342" i="1"/>
  <c r="AG342" i="1"/>
  <c r="AE342" i="1"/>
  <c r="AD342" i="1"/>
  <c r="AJ327" i="1"/>
  <c r="AG327" i="1"/>
  <c r="AE327" i="1"/>
  <c r="AD327" i="1"/>
  <c r="AG322" i="1"/>
  <c r="AE322" i="1"/>
  <c r="AJ322" i="1"/>
  <c r="R312" i="1"/>
  <c r="Y312" i="1"/>
  <c r="Y298" i="1"/>
  <c r="R298" i="1"/>
  <c r="AD334" i="1"/>
  <c r="AJ334" i="1"/>
  <c r="AG334" i="1"/>
  <c r="AE334" i="1"/>
  <c r="AJ300" i="1"/>
  <c r="AG300" i="1"/>
  <c r="AE300" i="1"/>
  <c r="AE269" i="1"/>
  <c r="AJ269" i="1"/>
  <c r="AG269" i="1"/>
  <c r="Q299" i="1"/>
  <c r="Y299" i="1"/>
  <c r="AJ287" i="1"/>
  <c r="AE287" i="1"/>
  <c r="AG287" i="1"/>
  <c r="AD287" i="1"/>
  <c r="Y240" i="1"/>
  <c r="V240" i="1"/>
  <c r="Q310" i="1"/>
  <c r="Y310" i="1"/>
  <c r="AA346" i="1"/>
  <c r="Y251" i="1"/>
  <c r="R242" i="1"/>
  <c r="Y242" i="1"/>
  <c r="U202" i="1"/>
  <c r="Y223" i="1"/>
  <c r="Y192" i="1"/>
  <c r="R192" i="1"/>
  <c r="Y199" i="1"/>
  <c r="Y202" i="1" s="1"/>
  <c r="U248" i="1"/>
  <c r="Y173" i="1"/>
  <c r="Y174" i="1" s="1"/>
  <c r="R173" i="1"/>
  <c r="R174" i="1" s="1"/>
  <c r="AA178" i="1"/>
  <c r="AA197" i="1" s="1"/>
  <c r="Z197" i="1"/>
  <c r="P197" i="1"/>
  <c r="R178" i="1"/>
  <c r="Y178" i="1"/>
  <c r="Z104" i="1"/>
  <c r="AA99" i="1"/>
  <c r="AA104" i="1" s="1"/>
  <c r="Y130" i="1"/>
  <c r="T166" i="1"/>
  <c r="T169" i="1" s="1"/>
  <c r="T175" i="1" s="1"/>
  <c r="S169" i="1"/>
  <c r="S175" i="1" s="1"/>
  <c r="Y166" i="1"/>
  <c r="Y84" i="1"/>
  <c r="Q84" i="1"/>
  <c r="Y89" i="1"/>
  <c r="Y91" i="1" s="1"/>
  <c r="R89" i="1"/>
  <c r="R91" i="1" s="1"/>
  <c r="Y131" i="1"/>
  <c r="Y113" i="1"/>
  <c r="V175" i="1" l="1"/>
  <c r="Y41" i="1"/>
  <c r="Y30" i="1"/>
  <c r="AI329" i="1"/>
  <c r="AI298" i="1"/>
  <c r="Y147" i="1"/>
  <c r="K175" i="1"/>
  <c r="V248" i="1"/>
  <c r="X364" i="1"/>
  <c r="X365" i="1" s="1"/>
  <c r="AI41" i="1"/>
  <c r="AI97" i="1" s="1"/>
  <c r="AE41" i="1"/>
  <c r="AE97" i="1" s="1"/>
  <c r="Q363" i="1"/>
  <c r="AI267" i="1"/>
  <c r="AI352" i="1"/>
  <c r="AI281" i="1"/>
  <c r="Q248" i="1"/>
  <c r="AI331" i="1"/>
  <c r="Y49" i="1"/>
  <c r="H148" i="1"/>
  <c r="G365" i="1"/>
  <c r="H97" i="1"/>
  <c r="Y143" i="1"/>
  <c r="H175" i="1"/>
  <c r="AI357" i="1"/>
  <c r="P175" i="1"/>
  <c r="AA364" i="1"/>
  <c r="AI345" i="1"/>
  <c r="AJ138" i="1"/>
  <c r="AJ148" i="1" s="1"/>
  <c r="AI291" i="1"/>
  <c r="V124" i="1"/>
  <c r="V148" i="1" s="1"/>
  <c r="AA148" i="1"/>
  <c r="Y197" i="1"/>
  <c r="AI285" i="1"/>
  <c r="P148" i="1"/>
  <c r="R104" i="1"/>
  <c r="K148" i="1"/>
  <c r="V97" i="1"/>
  <c r="Q138" i="1"/>
  <c r="AI300" i="1"/>
  <c r="AI343" i="1"/>
  <c r="AI308" i="1"/>
  <c r="P364" i="1"/>
  <c r="AI322" i="1"/>
  <c r="AI351" i="1"/>
  <c r="Y124" i="1"/>
  <c r="AI310" i="1"/>
  <c r="AI252" i="1"/>
  <c r="AI303" i="1"/>
  <c r="R346" i="1"/>
  <c r="Y55" i="1"/>
  <c r="H364" i="1"/>
  <c r="AI321" i="1"/>
  <c r="Y138" i="1"/>
  <c r="AI305" i="1"/>
  <c r="AI316" i="1"/>
  <c r="R248" i="1"/>
  <c r="AI323" i="1"/>
  <c r="Y104" i="1"/>
  <c r="Q158" i="1"/>
  <c r="AI324" i="1"/>
  <c r="AI275" i="1"/>
  <c r="AI348" i="1"/>
  <c r="Y248" i="1"/>
  <c r="AI263" i="1"/>
  <c r="AI269" i="1"/>
  <c r="AI311" i="1"/>
  <c r="AH346" i="1"/>
  <c r="AH364" i="1" s="1"/>
  <c r="AH365" i="1" s="1"/>
  <c r="Y169" i="1"/>
  <c r="AI328" i="1"/>
  <c r="V197" i="1"/>
  <c r="Z364" i="1"/>
  <c r="Y346" i="1"/>
  <c r="U175" i="1"/>
  <c r="V346" i="1"/>
  <c r="AI359" i="1"/>
  <c r="AI320" i="1"/>
  <c r="AI307" i="1"/>
  <c r="AA175" i="1"/>
  <c r="AI266" i="1"/>
  <c r="AI273" i="1"/>
  <c r="AI340" i="1"/>
  <c r="AI306" i="1"/>
  <c r="AA97" i="1"/>
  <c r="AI296" i="1"/>
  <c r="AI315" i="1"/>
  <c r="Q346" i="1"/>
  <c r="R175" i="1"/>
  <c r="Z148" i="1"/>
  <c r="AI327" i="1"/>
  <c r="AI349" i="1"/>
  <c r="AI274" i="1"/>
  <c r="AD346" i="1"/>
  <c r="AI325" i="1"/>
  <c r="AI318" i="1"/>
  <c r="Y96" i="1"/>
  <c r="W364" i="1"/>
  <c r="W365" i="1" s="1"/>
  <c r="AI287" i="1"/>
  <c r="K97" i="1"/>
  <c r="AE346" i="1"/>
  <c r="AI249" i="1"/>
  <c r="Y363" i="1"/>
  <c r="R97" i="1"/>
  <c r="Q87" i="1"/>
  <c r="Z97" i="1"/>
  <c r="AJ363" i="1"/>
  <c r="R197" i="1"/>
  <c r="AJ346" i="1"/>
  <c r="AI276" i="1"/>
  <c r="AD363" i="1"/>
  <c r="Z175" i="1"/>
  <c r="AI130" i="1"/>
  <c r="AI138" i="1" s="1"/>
  <c r="AI148" i="1" s="1"/>
  <c r="AI304" i="1"/>
  <c r="AI309" i="1"/>
  <c r="U148" i="1"/>
  <c r="Y158" i="1"/>
  <c r="AI347" i="1"/>
  <c r="AE363" i="1"/>
  <c r="AI272" i="1"/>
  <c r="U364" i="1"/>
  <c r="AI334" i="1"/>
  <c r="AI342" i="1"/>
  <c r="K364" i="1"/>
  <c r="AI286" i="1"/>
  <c r="P97" i="1"/>
  <c r="AG363" i="1"/>
  <c r="Q124" i="1"/>
  <c r="AI319" i="1"/>
  <c r="T365" i="1"/>
  <c r="Q97" i="1"/>
  <c r="Q143" i="1"/>
  <c r="U97" i="1"/>
  <c r="AI344" i="1"/>
  <c r="AB364" i="1"/>
  <c r="AB365" i="1" s="1"/>
  <c r="AI277" i="1"/>
  <c r="AI299" i="1"/>
  <c r="AF346" i="1"/>
  <c r="AF364" i="1" s="1"/>
  <c r="AF365" i="1" s="1"/>
  <c r="AI278" i="1"/>
  <c r="AI301" i="1"/>
  <c r="Q175" i="1"/>
  <c r="AG346" i="1"/>
  <c r="S365" i="1"/>
  <c r="AI271" i="1"/>
  <c r="AI282" i="1"/>
  <c r="Y87" i="1"/>
  <c r="Q197" i="1"/>
  <c r="AI302" i="1"/>
  <c r="R124" i="1"/>
  <c r="K365" i="1" l="1"/>
  <c r="Y175" i="1"/>
  <c r="H365" i="1"/>
  <c r="AA365" i="1"/>
  <c r="Y97" i="1"/>
  <c r="Y148" i="1"/>
  <c r="Z365" i="1"/>
  <c r="R148" i="1"/>
  <c r="P365" i="1"/>
  <c r="Y364" i="1"/>
  <c r="V364" i="1"/>
  <c r="V365" i="1" s="1"/>
  <c r="AE364" i="1"/>
  <c r="AE365" i="1" s="1"/>
  <c r="R364" i="1"/>
  <c r="Q364" i="1"/>
  <c r="AI363" i="1"/>
  <c r="AD364" i="1"/>
  <c r="AD365" i="1" s="1"/>
  <c r="Q148" i="1"/>
  <c r="AI346" i="1"/>
  <c r="AG364" i="1"/>
  <c r="AG365" i="1" s="1"/>
  <c r="U365" i="1"/>
  <c r="AJ364" i="1"/>
  <c r="AJ365" i="1" s="1"/>
  <c r="R365" i="1" l="1"/>
  <c r="Y365" i="1"/>
  <c r="Q365" i="1"/>
  <c r="AI364" i="1"/>
  <c r="AI365" i="1" s="1"/>
  <c r="A109" i="3" l="1"/>
  <c r="A110" i="3" s="1"/>
  <c r="A112" i="3" s="1"/>
  <c r="A113" i="3" s="1"/>
  <c r="A114" i="3" s="1"/>
  <c r="A115" i="3" s="1"/>
  <c r="A117" i="3" l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l="1"/>
  <c r="A135" i="3" s="1"/>
  <c r="A137" i="3" s="1"/>
  <c r="A139" i="3" s="1"/>
  <c r="A140" i="3" s="1"/>
  <c r="A141" i="3" s="1"/>
  <c r="A143" i="3" s="1"/>
  <c r="A144" i="3" s="1"/>
  <c r="A145" i="3" s="1"/>
  <c r="A146" i="3" s="1"/>
  <c r="A147" i="3" s="1"/>
  <c r="A148" i="3" s="1"/>
  <c r="A151" i="3" s="1"/>
  <c r="A152" i="3" s="1"/>
  <c r="A153" i="3" s="1"/>
  <c r="A154" i="3" s="1"/>
  <c r="A156" i="3" s="1"/>
  <c r="A157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1" i="3" s="1"/>
  <c r="A182" i="3" s="1"/>
  <c r="A184" i="3" s="1"/>
  <c r="A185" i="3" s="1"/>
  <c r="A187" i="3" s="1"/>
  <c r="A188" i="3" s="1"/>
  <c r="A189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5" i="3" s="1"/>
  <c r="A206" i="3" s="1"/>
  <c r="A207" i="3" s="1"/>
  <c r="A208" i="3" s="1"/>
  <c r="A209" i="3" s="1"/>
  <c r="A212" i="3" s="1"/>
  <c r="A213" i="3" s="1"/>
  <c r="A214" i="3" s="1"/>
  <c r="A216" i="3" s="1"/>
  <c r="A217" i="3" s="1"/>
  <c r="A218" i="3" s="1"/>
  <c r="A219" i="3" s="1"/>
  <c r="A220" i="3" s="1"/>
  <c r="A221" i="3" s="1"/>
  <c r="A222" i="3" l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8" i="3" s="1"/>
  <c r="A239" i="3" s="1"/>
  <c r="A241" i="3" l="1"/>
  <c r="A242" i="3" s="1"/>
  <c r="A244" i="3" s="1"/>
  <c r="A245" i="3" s="1"/>
  <c r="A246" i="3" s="1"/>
  <c r="A247" i="3" s="1"/>
  <c r="A248" i="3" s="1"/>
  <c r="A250" i="3" s="1"/>
  <c r="A251" i="3" s="1"/>
  <c r="A252" i="3" s="1"/>
  <c r="A253" i="3" s="1"/>
  <c r="A254" i="3" s="1"/>
  <c r="A256" i="3" s="1"/>
  <c r="A257" i="3" s="1"/>
  <c r="A258" i="3" s="1"/>
  <c r="A259" i="3" s="1"/>
  <c r="A260" i="3" s="1"/>
  <c r="A262" i="3" s="1"/>
  <c r="A263" i="3" s="1"/>
  <c r="A264" i="3" s="1"/>
  <c r="A265" i="3" s="1"/>
  <c r="A266" i="3" s="1"/>
  <c r="A268" i="3" s="1"/>
  <c r="A269" i="3" s="1"/>
  <c r="A270" i="3" s="1"/>
  <c r="A271" i="3" s="1"/>
  <c r="A273" i="3" s="1"/>
  <c r="A274" i="3" s="1"/>
  <c r="A275" i="3" s="1"/>
  <c r="A276" i="3" s="1"/>
  <c r="A277" i="3" s="1"/>
  <c r="A278" i="3" s="1"/>
  <c r="A280" i="3" s="1"/>
  <c r="A283" i="3" s="1"/>
  <c r="A284" i="3" s="1"/>
  <c r="A285" i="3" s="1"/>
  <c r="A286" i="3" s="1"/>
  <c r="A287" i="3" s="1"/>
  <c r="A288" i="3" s="1"/>
  <c r="A289" i="3" s="1"/>
  <c r="A290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4" i="3" s="1"/>
  <c r="A305" i="3" s="1"/>
  <c r="A306" i="3" s="1"/>
  <c r="A308" i="3" s="1"/>
  <c r="A309" i="3" s="1"/>
  <c r="A311" i="3" s="1"/>
  <c r="A312" i="3" s="1"/>
  <c r="A313" i="3" s="1"/>
  <c r="A314" i="3" l="1"/>
  <c r="A315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l="1"/>
  <c r="A386" i="3" s="1"/>
  <c r="A387" i="3" s="1"/>
  <c r="A388" i="3" s="1"/>
  <c r="A389" i="3" s="1"/>
  <c r="A390" i="3" l="1"/>
  <c r="A391" i="3" s="1"/>
  <c r="A392" i="3" s="1"/>
  <c r="A393" i="3" s="1"/>
  <c r="A394" i="3" s="1"/>
  <c r="A395" i="3" s="1"/>
  <c r="A397" i="3" s="1"/>
  <c r="A398" i="3" s="1"/>
  <c r="A399" i="3" s="1"/>
  <c r="A400" i="3" s="1"/>
  <c r="A401" i="3" s="1"/>
  <c r="A402" i="3" s="1"/>
  <c r="A403" i="3" s="1"/>
  <c r="A404" i="3" s="1"/>
  <c r="A406" i="3" s="1"/>
  <c r="A407" i="3" s="1"/>
  <c r="A408" i="3" s="1"/>
  <c r="A409" i="3" s="1"/>
  <c r="A411" i="3" s="1"/>
  <c r="A412" i="3" s="1"/>
  <c r="A414" i="3" s="1"/>
  <c r="A415" i="3" s="1"/>
  <c r="A416" i="3" s="1"/>
  <c r="A417" i="3" s="1"/>
  <c r="A418" i="3" s="1"/>
  <c r="A419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388" i="4"/>
  <c r="A389" i="4" s="1"/>
  <c r="A390" i="4" s="1"/>
  <c r="A395" i="4" s="1"/>
  <c r="A397" i="4" s="1"/>
  <c r="A398" i="4" s="1"/>
  <c r="A399" i="4" s="1"/>
  <c r="A400" i="4" s="1"/>
  <c r="A401" i="4" s="1"/>
  <c r="A402" i="4" s="1"/>
  <c r="A403" i="4" s="1"/>
  <c r="A404" i="4" s="1"/>
  <c r="A406" i="4" s="1"/>
  <c r="A407" i="4" s="1"/>
  <c r="A408" i="4" s="1"/>
  <c r="A409" i="4" s="1"/>
  <c r="A411" i="4" s="1"/>
  <c r="A412" i="4" s="1"/>
  <c r="A414" i="4" s="1"/>
  <c r="A415" i="4" s="1"/>
  <c r="A416" i="4" s="1"/>
  <c r="A417" i="4" s="1"/>
  <c r="A418" i="4" s="1"/>
  <c r="A419" i="4" s="1"/>
  <c r="A421" i="4" s="1"/>
  <c r="A422" i="4" s="1"/>
  <c r="A423" i="4" s="1"/>
  <c r="A424" i="4" s="1"/>
  <c r="A425" i="4" s="1"/>
  <c r="A426" i="4" s="1"/>
  <c r="A429" i="4" s="1"/>
  <c r="A431" i="4" s="1"/>
  <c r="A432" i="4" s="1"/>
  <c r="A433" i="4" s="1"/>
  <c r="A434" i="4" s="1"/>
  <c r="A435" i="4" s="1"/>
  <c r="A436" i="4" s="1"/>
  <c r="A437" i="4" s="1"/>
  <c r="A438" i="4" s="1"/>
  <c r="I442" i="3" l="1"/>
  <c r="I443" i="3" l="1"/>
  <c r="I444" i="3"/>
  <c r="K444" i="3"/>
</calcChain>
</file>

<file path=xl/comments1.xml><?xml version="1.0" encoding="utf-8"?>
<comments xmlns="http://schemas.openxmlformats.org/spreadsheetml/2006/main">
  <authors>
    <author>Mauricio Rodríguez</author>
  </authors>
  <commentList>
    <comment ref="B135" authorId="0" shapeId="0">
      <text>
        <r>
          <rPr>
            <b/>
            <sz val="9"/>
            <color indexed="81"/>
            <rFont val="Tahoma"/>
            <family val="2"/>
          </rPr>
          <t>Mauricio Rodríguez:</t>
        </r>
        <r>
          <rPr>
            <sz val="9"/>
            <color indexed="81"/>
            <rFont val="Tahoma"/>
            <family val="2"/>
          </rPr>
          <t xml:space="preserve">
Cambiar de linea, hacer reforma</t>
        </r>
      </text>
    </comment>
  </commentList>
</comments>
</file>

<file path=xl/sharedStrings.xml><?xml version="1.0" encoding="utf-8"?>
<sst xmlns="http://schemas.openxmlformats.org/spreadsheetml/2006/main" count="4854" uniqueCount="814">
  <si>
    <t>No.</t>
  </si>
  <si>
    <t>NOMBRE</t>
  </si>
  <si>
    <t>Cargo o Puesto</t>
  </si>
  <si>
    <t>Departamento</t>
  </si>
  <si>
    <t>Sistema de Remuneración</t>
  </si>
  <si>
    <t>Línea de Trabajo</t>
  </si>
  <si>
    <t>Salarios</t>
  </si>
  <si>
    <t>Aportes por Contribuciones Patronales</t>
  </si>
  <si>
    <t>Aporte Patronal INSAFORP</t>
  </si>
  <si>
    <t>INSAFORP MENSUAL</t>
  </si>
  <si>
    <t>Horas Extras</t>
  </si>
  <si>
    <t>Aportes por Contribuciones Patronales por Horas Extras</t>
  </si>
  <si>
    <t>Indemnizaciones</t>
  </si>
  <si>
    <t>Prestación Económica por Retiro Voluntario</t>
  </si>
  <si>
    <t>Subsidio por Canasta Navideña</t>
  </si>
  <si>
    <t>Subsidio por el Dia de la Secretaria</t>
  </si>
  <si>
    <t>Beneficios Adicionales</t>
  </si>
  <si>
    <t>Gastos funerarios</t>
  </si>
  <si>
    <t>Dietas</t>
  </si>
  <si>
    <t>Mensual</t>
  </si>
  <si>
    <t>Anual</t>
  </si>
  <si>
    <t>Subsidio para confeccion de uniformes</t>
  </si>
  <si>
    <t>Gastos de representación en el exterior</t>
  </si>
  <si>
    <t>Aguinaldo</t>
  </si>
  <si>
    <t>Bonificacion</t>
  </si>
  <si>
    <t>Remuneraciones Diversas</t>
  </si>
  <si>
    <t>Sub. Para Apoyo de Formación Educativa</t>
  </si>
  <si>
    <t>Subsidio del Dia del Empleado Municipal</t>
  </si>
  <si>
    <t>Seg. Soc. Priv.</t>
  </si>
  <si>
    <t>MENSUAL</t>
  </si>
  <si>
    <t>Seguridad Social Pública (SSP)</t>
  </si>
  <si>
    <t>Seguridad Social Pública (SSP) por Horas Extras</t>
  </si>
  <si>
    <t>Dia del Empleado</t>
  </si>
  <si>
    <t>AFP´s</t>
  </si>
  <si>
    <t>AFP CRECER</t>
  </si>
  <si>
    <t>AFP  CONFIA</t>
  </si>
  <si>
    <t>INPEP</t>
  </si>
  <si>
    <t>INPEP MENSUAL</t>
  </si>
  <si>
    <t>ISSS</t>
  </si>
  <si>
    <t>ISSS MENSUAL</t>
  </si>
  <si>
    <t>IPSFA</t>
  </si>
  <si>
    <t>IPSFA MENSUAL</t>
  </si>
  <si>
    <t>Total SSP</t>
  </si>
  <si>
    <t>Veronica Jazmin Clavel de Castro</t>
  </si>
  <si>
    <t>1er.Regidor Propietario</t>
  </si>
  <si>
    <t>Concejo Municipal</t>
  </si>
  <si>
    <t>Elección Popular</t>
  </si>
  <si>
    <t>0101</t>
  </si>
  <si>
    <t>Wilfredo Jeovany Cuellar Hurtado</t>
  </si>
  <si>
    <t>2do.Regidor Propietario</t>
  </si>
  <si>
    <t xml:space="preserve"> </t>
  </si>
  <si>
    <t>Oscar Alexander Lara Espinoza</t>
  </si>
  <si>
    <t>3er. Regidor Propietario</t>
  </si>
  <si>
    <t>Miguel Angel Urias García</t>
  </si>
  <si>
    <t>4o. Regidor Propietario</t>
  </si>
  <si>
    <t>Julissa Lizette Moscoso de Avalos</t>
  </si>
  <si>
    <t>5o. Regidor Propietario</t>
  </si>
  <si>
    <t>Jorge Alberto Ramirez Marroquin</t>
  </si>
  <si>
    <t>6o. Regidor Propietario</t>
  </si>
  <si>
    <t>Sigfredo Alexander Montes Baires</t>
  </si>
  <si>
    <t>7o.Regidor Propietario</t>
  </si>
  <si>
    <t>Evelyn Mariela Melgar Ruiz</t>
  </si>
  <si>
    <t>8o. Regidor Propietario</t>
  </si>
  <si>
    <t>Mario Gustavo Méndez Velasquez</t>
  </si>
  <si>
    <t>9o. Regidor Propietario</t>
  </si>
  <si>
    <t>Hugo Antonio Calderon Arriola</t>
  </si>
  <si>
    <t>10o. Regidor Propietario</t>
  </si>
  <si>
    <t>Manuel de Jesús Hernández Romero</t>
  </si>
  <si>
    <t>1er. Regidor Suplente</t>
  </si>
  <si>
    <t>Dedwin Antonio Portillo Vasquez</t>
  </si>
  <si>
    <t>2o. Regidor Suplente</t>
  </si>
  <si>
    <t>Saúl Enrique Hernández Calderon</t>
  </si>
  <si>
    <t>3er. Regidor Suplente</t>
  </si>
  <si>
    <t>Emerson Yovany Deras Ramos</t>
  </si>
  <si>
    <t>4o. Regidor Suplente</t>
  </si>
  <si>
    <t>TOTAL DEL CONCEJO MPAL.</t>
  </si>
  <si>
    <t>ISAAC BENJAMIN HERNANDEZ ESCOBAR</t>
  </si>
  <si>
    <t>Alcalde Municipal</t>
  </si>
  <si>
    <t>Despacho Mpal</t>
  </si>
  <si>
    <t>Nombramiento</t>
  </si>
  <si>
    <t>Mayra Angelica Escalante Abrego</t>
  </si>
  <si>
    <t>Asistente del Despacho</t>
  </si>
  <si>
    <t>Mirian Aracely Valladares Varela</t>
  </si>
  <si>
    <t xml:space="preserve">Secretaria </t>
  </si>
  <si>
    <t>Ricardo Antonio Ulloa Salazar</t>
  </si>
  <si>
    <t>Motorista del Despacho</t>
  </si>
  <si>
    <t>TOTAL DEL DESPACHO MPAL.</t>
  </si>
  <si>
    <t>JORGE ANTONIO BURGOS JORDAN</t>
  </si>
  <si>
    <t xml:space="preserve">Encargado(a) deTurismo </t>
  </si>
  <si>
    <t>Unidad de Turismo y Cultura</t>
  </si>
  <si>
    <t>Miguel Angel Guerrero Valdez</t>
  </si>
  <si>
    <t>Colaborador</t>
  </si>
  <si>
    <t>JOSE DAVID ARAUZ GUEVARA</t>
  </si>
  <si>
    <t>Encargado(a) de Cultura</t>
  </si>
  <si>
    <t>TOTAL DE LA UNIDAD DE TURISMO Y CULTURA</t>
  </si>
  <si>
    <t>Santos Walter Reinado Jovel</t>
  </si>
  <si>
    <t>Enc. de Unid. de la Bolsa de Empleo</t>
  </si>
  <si>
    <t>Unidad de la Bolsa de Empleo</t>
  </si>
  <si>
    <t>TOTAL DE LA UNIDAD DE LA BOLSA DE EMPLEO</t>
  </si>
  <si>
    <t>Vilma Noemy Santos Cruz</t>
  </si>
  <si>
    <t>Encargada de la Unidad de la Mujer, Genero, Niñez y Adolescencia</t>
  </si>
  <si>
    <t>Unidad de la Mujer, Genero, Niñez y Adolescencia</t>
  </si>
  <si>
    <t>Angelica de los Angeles López de Dimas</t>
  </si>
  <si>
    <t>Colaborador de la Mujer y Genero</t>
  </si>
  <si>
    <t>MONICA SOFIA ANGEL VILLALTA</t>
  </si>
  <si>
    <t>Colaborador de la Niñez y Adolesc.</t>
  </si>
  <si>
    <t>TOTAL DE LA UNIDAD DE LA MUJER, GENERO, NIÑEZ Y ADOLESCENCIA</t>
  </si>
  <si>
    <t>EDWIN ANTONIO ASCENCIO GARCIA</t>
  </si>
  <si>
    <t>Gerente Municipal</t>
  </si>
  <si>
    <t>Adela Arrué de Orellana</t>
  </si>
  <si>
    <t xml:space="preserve">Asistente </t>
  </si>
  <si>
    <t>Mayra Evelyn Canales Rodriguez</t>
  </si>
  <si>
    <t>Enc. De Control de Combustible</t>
  </si>
  <si>
    <t>TOTAL DE GERENCIA MUNICIPAL</t>
  </si>
  <si>
    <t>ENMANUEL ALEJANDRO TOBAR OSORIO</t>
  </si>
  <si>
    <t>Coord. de Unidad de  Gestion y Cooperación</t>
  </si>
  <si>
    <t>Unidad de  Gestion y Cooperación</t>
  </si>
  <si>
    <t>Jamie Rocio García Soriano</t>
  </si>
  <si>
    <t>TOTAL DE UNIDAD DE GESTION Y COOPERACION</t>
  </si>
  <si>
    <t xml:space="preserve">Carmen Lorena Aguilar Martínez </t>
  </si>
  <si>
    <t>Delegado Contravencional</t>
  </si>
  <si>
    <t>Unidad Municipal Contravencional y de Resolución Alterna de Conflictos</t>
  </si>
  <si>
    <t>Eliseo de Jesus Carballo</t>
  </si>
  <si>
    <t xml:space="preserve">Colaborador </t>
  </si>
  <si>
    <t>Maria de los Angeles Martínez Mendez</t>
  </si>
  <si>
    <t>Claudia Nataly Marinero Raymundo</t>
  </si>
  <si>
    <t>TOTAL DE LA UNIDAD MPAL. CONTRAVENCIONAL Y DE RESOLUCION ALTERNA DE CONFLICTOS</t>
  </si>
  <si>
    <t>José Rigoberto Escobar Molina</t>
  </si>
  <si>
    <t>Oficial de Información Pública</t>
  </si>
  <si>
    <t>Unidad de Acceso a la Información Pública</t>
  </si>
  <si>
    <t>TOTAL DE LA UNIDAD DE ACCESO A LA INFORMACIÓN PÚBLICA</t>
  </si>
  <si>
    <t>Walter Montoya Castro</t>
  </si>
  <si>
    <t>Encargado de Archivo Institucional</t>
  </si>
  <si>
    <t>Archivo Institucional</t>
  </si>
  <si>
    <t>Mauricio Antonio Ruiz Martinez</t>
  </si>
  <si>
    <t>Colaborador I</t>
  </si>
  <si>
    <t>Abel Deras Orellana</t>
  </si>
  <si>
    <t>Colaborador II</t>
  </si>
  <si>
    <t>TOTAL DE ARCHIVO INSTITUCIONAL</t>
  </si>
  <si>
    <t>EMERSON CHRIS ALEMAN SANCHEZ</t>
  </si>
  <si>
    <t>Síndico Municipal</t>
  </si>
  <si>
    <t>Sindicatura</t>
  </si>
  <si>
    <t>LILIANA ABIGAIL MARCONY LANDAVERDE</t>
  </si>
  <si>
    <t>Secretaria</t>
  </si>
  <si>
    <t>TOTAL DE SINDICATURA</t>
  </si>
  <si>
    <t>BLANCA ESTELA CONTRERAS COLOCHO</t>
  </si>
  <si>
    <t>Secretario Municipal</t>
  </si>
  <si>
    <t>Secretaría Mpal.</t>
  </si>
  <si>
    <t>LILIAN LEONOR SOSA SERRANO</t>
  </si>
  <si>
    <t>TOTAL DE SECRETARIA MPAL.</t>
  </si>
  <si>
    <t>Lic. Juan Carlos Vasquez García</t>
  </si>
  <si>
    <t>Auditor Interno</t>
  </si>
  <si>
    <t>Auditoría Interna</t>
  </si>
  <si>
    <t>Gabriela de Lourdes Reyes de Del Cid</t>
  </si>
  <si>
    <t>Alexandra Abigail Reyes Luna</t>
  </si>
  <si>
    <t>TOTAL DE AUDITORIA INTERNA</t>
  </si>
  <si>
    <t>Lic. Ana del Carmen Martínez Leonardo</t>
  </si>
  <si>
    <t xml:space="preserve">Jefe de Asesoría Jurídico </t>
  </si>
  <si>
    <t>Asesoría Juridica</t>
  </si>
  <si>
    <t>JORGE ALEXANDER VELASQUEZ DELEON</t>
  </si>
  <si>
    <t>Asesor Juridico</t>
  </si>
  <si>
    <t>Veronica Tovar de Lué</t>
  </si>
  <si>
    <t>Asistente</t>
  </si>
  <si>
    <t>TOTAL DE ASESORIA JURIDICA</t>
  </si>
  <si>
    <t>Ana Mirian Batres de Guevara</t>
  </si>
  <si>
    <t>Jefe de Gestion del Talento Humano</t>
  </si>
  <si>
    <t>Unidad de Gestion del Talento Humano</t>
  </si>
  <si>
    <t>Guadalupe Elizabeth Perez de Dias</t>
  </si>
  <si>
    <t>Eva Aracely Chacón Tamacas</t>
  </si>
  <si>
    <t>Jackeline Xiomara Contreras de Cuellar</t>
  </si>
  <si>
    <t>TOTAL DE UNIDAD DE GESTION DEL TALENTO HUMANO</t>
  </si>
  <si>
    <t>Jose Dennys Pineda Espinoza</t>
  </si>
  <si>
    <t>Enc. De Gestión de Prevención de Riesgos Ocupacionales</t>
  </si>
  <si>
    <t>Unidad de Atención al Cliente</t>
  </si>
  <si>
    <t>Ofelia Caterin Alas Mejía</t>
  </si>
  <si>
    <t>Recepcionista</t>
  </si>
  <si>
    <t>Fernando Sánchez Cáceres</t>
  </si>
  <si>
    <t>Ordenanza I</t>
  </si>
  <si>
    <t>Elba Noemi Beltran Ruiz</t>
  </si>
  <si>
    <t>Erika Esmeralda López Gutiérrez</t>
  </si>
  <si>
    <t>Ana Sofia Osorio Franco</t>
  </si>
  <si>
    <t>Ordenanza II</t>
  </si>
  <si>
    <t>Francisco Vega</t>
  </si>
  <si>
    <t>José Antonio Cruz</t>
  </si>
  <si>
    <t>Carmen Guadalupe Portillo de Acevedo</t>
  </si>
  <si>
    <t>Yesenia Carolina Ventura de Gonzalez</t>
  </si>
  <si>
    <t>Ordenanza III</t>
  </si>
  <si>
    <t>Maritza Mercado de Alfaro</t>
  </si>
  <si>
    <t>Mirian Anabel Nuñez Rodriguez</t>
  </si>
  <si>
    <t>TOTAL DE UNIDAD DE ATENCION AL CLIENTE</t>
  </si>
  <si>
    <t>JONATHAN WILLIAM CHEVERRIA MOLINA</t>
  </si>
  <si>
    <t>Jefe de Unidad de Tecnologías de la Información y la Comunicación</t>
  </si>
  <si>
    <t>Unidad de Tecnologías de la Información y la Comunicación</t>
  </si>
  <si>
    <t>José Roberto Segura Deleón</t>
  </si>
  <si>
    <t>Encargado de Unidad de Tecnologias de la Información y Comunicación</t>
  </si>
  <si>
    <t>Susana Guadalupe Contreras Velasquez</t>
  </si>
  <si>
    <t>TOTAL DE UNIDAD DE TECNOLOGIAS DE LA INFORMACIÓN Y LA COMUNICACIÓN</t>
  </si>
  <si>
    <t>Luis Alfredo Lemus Herrera</t>
  </si>
  <si>
    <t>Enc. de Unidad Ambiental</t>
  </si>
  <si>
    <t>Unidad Ambiental</t>
  </si>
  <si>
    <t>Francisco Antonio Larin Cuellar</t>
  </si>
  <si>
    <t>Inspector de Unidad Ambiental</t>
  </si>
  <si>
    <t>Freddy Eduardo Villacorta Menjívar</t>
  </si>
  <si>
    <t>Walter Rafael Méndez Jiménez</t>
  </si>
  <si>
    <t>TOTAL DE UNIDAD AMBIENTAL</t>
  </si>
  <si>
    <t>TOTAL DE LINEA 0101</t>
  </si>
  <si>
    <t>MARIO ALBERTO VASQUEZ ESTRADA</t>
  </si>
  <si>
    <t>Jefe de UACI</t>
  </si>
  <si>
    <t>U.A.C.I</t>
  </si>
  <si>
    <t>0102</t>
  </si>
  <si>
    <t>David Alfredo Contreras Belloso</t>
  </si>
  <si>
    <t>Asistente de UACI</t>
  </si>
  <si>
    <t>Reina Alicia Iglesias Ramirez</t>
  </si>
  <si>
    <t>Gestor de Compras</t>
  </si>
  <si>
    <t>Hilda Yaricia Medrano Guevara</t>
  </si>
  <si>
    <t>Colab. de UACI</t>
  </si>
  <si>
    <t>Leonardo Mejía Campos</t>
  </si>
  <si>
    <t>Encargado de Proveeduria</t>
  </si>
  <si>
    <t>Willian Ernesto Martinez</t>
  </si>
  <si>
    <t>Colab. de Proveeduria</t>
  </si>
  <si>
    <t>TOTAL DE UACI</t>
  </si>
  <si>
    <t>Silvia Lorena López López</t>
  </si>
  <si>
    <t>Jefe de UATM</t>
  </si>
  <si>
    <t>U.A.T.M.</t>
  </si>
  <si>
    <t>Haydee Guadalupe Santos de Alvarado</t>
  </si>
  <si>
    <t>Colab. De UATM</t>
  </si>
  <si>
    <t>Julio Vladimir Gonzalez López</t>
  </si>
  <si>
    <t>Encargado de Secc. R.C.T.</t>
  </si>
  <si>
    <t>David Ronaldy Alas Roque</t>
  </si>
  <si>
    <t>Inspector de Empresas</t>
  </si>
  <si>
    <t>Ovidio Alfredo García Quijada</t>
  </si>
  <si>
    <t>Inspector de Inmuebles I</t>
  </si>
  <si>
    <t>Ana de las Mercedes García de Polanco</t>
  </si>
  <si>
    <t>Colaborador de R.C.T.</t>
  </si>
  <si>
    <t>Ana Claudia Lima de Carranza</t>
  </si>
  <si>
    <t>Encargada de Ctas. Corrientes</t>
  </si>
  <si>
    <t>Mauricio Ernesto Avila Mejía</t>
  </si>
  <si>
    <t>Colab. de Ctas. Corrientes I</t>
  </si>
  <si>
    <t>Tomas Benjamin Morán Franco</t>
  </si>
  <si>
    <t>Colab. de Ctas. Corrientes II</t>
  </si>
  <si>
    <t>Fca. Talia Martinez Recinos</t>
  </si>
  <si>
    <t>Colab. de Ctas. Corrientes III</t>
  </si>
  <si>
    <t>Reyna Aracely Esquivel Escalante</t>
  </si>
  <si>
    <t>Colab. de Ctas. Corrientes IV</t>
  </si>
  <si>
    <t>Evelyn Cecilia Dubón Torres</t>
  </si>
  <si>
    <t>Enc. de Recuperación de Mora</t>
  </si>
  <si>
    <t>María del Carmen Aviles Madrid</t>
  </si>
  <si>
    <t>Colab. de Recuperación de Mora I</t>
  </si>
  <si>
    <t>Diana Dalila Vasquez Rivera</t>
  </si>
  <si>
    <t>Colab. de Recuperación de Mora II</t>
  </si>
  <si>
    <t>Aldonza Lisseth Maravilla Ortiz</t>
  </si>
  <si>
    <t>Encargada de Fiscalización</t>
  </si>
  <si>
    <t>Rafael Angel Portillo Magaña</t>
  </si>
  <si>
    <t>Notificador I</t>
  </si>
  <si>
    <t>Carlos Isaias Preza Linares</t>
  </si>
  <si>
    <t>Edilberto Antonio Moreno Martinez</t>
  </si>
  <si>
    <t>Notificador II</t>
  </si>
  <si>
    <t>TOTAL DE UATM</t>
  </si>
  <si>
    <t>EDWIN MAURICIO MOLINA ORELLANA</t>
  </si>
  <si>
    <t>Jefe de Tesorería</t>
  </si>
  <si>
    <t>Tesoreria</t>
  </si>
  <si>
    <t>Irayda Marilu Alvarado de Flores</t>
  </si>
  <si>
    <t>Asistente de Tesoreria</t>
  </si>
  <si>
    <t>Alba Elizabeth Preza de Montoya</t>
  </si>
  <si>
    <t>Domingo Venancio Aguiluz Beltran</t>
  </si>
  <si>
    <t>Colector de Aduana</t>
  </si>
  <si>
    <t>Roxana Cruz de Batres</t>
  </si>
  <si>
    <t>Cajero</t>
  </si>
  <si>
    <t>Karen Elizabeth Martínez Contreras</t>
  </si>
  <si>
    <t>Colab. de Especies Municipales</t>
  </si>
  <si>
    <t>Patricia Elizabeth Alemán de Pineda</t>
  </si>
  <si>
    <t>Colaborador de Tesoreria I</t>
  </si>
  <si>
    <t>Ana Judith Torres de Valencia</t>
  </si>
  <si>
    <t>Colaborador de Tesorería I</t>
  </si>
  <si>
    <t>Julio Cesar Martínez Orellana</t>
  </si>
  <si>
    <t>Colaborador de Tesoreria II</t>
  </si>
  <si>
    <t>Briseyda Yamileth Trejo Castillo</t>
  </si>
  <si>
    <t>Colaborador de Tesoreria III</t>
  </si>
  <si>
    <t>Evelyn Roxana Iraheta de Morales</t>
  </si>
  <si>
    <t>Sara Ester Patiño Rosales</t>
  </si>
  <si>
    <t>Colaborador de Tesoreria IV</t>
  </si>
  <si>
    <t>Lorenzo Tecun</t>
  </si>
  <si>
    <t>Ordenanza de Tesorería</t>
  </si>
  <si>
    <t>TOTAL DE TESORERIA</t>
  </si>
  <si>
    <t>Karla Vanessa Maravilla de Pereira</t>
  </si>
  <si>
    <t>Jefe de Contabilidad</t>
  </si>
  <si>
    <t>Contabilidad</t>
  </si>
  <si>
    <t>Ana Rubia Ventura Menjivar</t>
  </si>
  <si>
    <t>Asistente de Contabilidad</t>
  </si>
  <si>
    <t>Jessica Beatriz Martinez de Bonilla</t>
  </si>
  <si>
    <t>Colaborador de Inventarios</t>
  </si>
  <si>
    <t>Andrea Marielos Montoya Ponce</t>
  </si>
  <si>
    <t>Colaborador de Contabilidad</t>
  </si>
  <si>
    <t>TOTAL DE CONTABILIDAD</t>
  </si>
  <si>
    <t>Wendy Susana Lima Figueroa</t>
  </si>
  <si>
    <t>Jefe de Presupuesto</t>
  </si>
  <si>
    <t>Presupuesto</t>
  </si>
  <si>
    <t>Mirian Elizabeth Ordoñez de Alfaro</t>
  </si>
  <si>
    <t>Asistente de Presupuesto</t>
  </si>
  <si>
    <t>Jackelinne America Chavez de Cortez</t>
  </si>
  <si>
    <t>Colaborador de Presupuesto</t>
  </si>
  <si>
    <t>TOTAL DE PRESUPUESTO</t>
  </si>
  <si>
    <t>TOTAL LINEA 0102</t>
  </si>
  <si>
    <t>Cecilia Elizabeth Cáceres Rodríguez</t>
  </si>
  <si>
    <t>Jefe  del REF y Ciudadano</t>
  </si>
  <si>
    <t>R.E.F y Ciudadano</t>
  </si>
  <si>
    <t>0201</t>
  </si>
  <si>
    <t>Alba Noemy Cisneros Orellana</t>
  </si>
  <si>
    <t>Asistente del REF</t>
  </si>
  <si>
    <t>Mario Jonathan Pérez Martínez</t>
  </si>
  <si>
    <t>Enc. Sistemas del REF</t>
  </si>
  <si>
    <t>Carlos Alfredo Cuellar Melgar</t>
  </si>
  <si>
    <t>Colaborador del REF I</t>
  </si>
  <si>
    <t>Fatima del Rosario Olla Ceceña</t>
  </si>
  <si>
    <t>Dimas Alfonso Escobar Lainez</t>
  </si>
  <si>
    <t>Colaborador del REF II</t>
  </si>
  <si>
    <t>Olman Alexander Zepeda Portillo</t>
  </si>
  <si>
    <t>Colaborador del REF III</t>
  </si>
  <si>
    <t>Nancy Yasmin Regalado Leiva</t>
  </si>
  <si>
    <t>Colaborador del REF IV</t>
  </si>
  <si>
    <t>Blanca Liseth Martinez Navarrete</t>
  </si>
  <si>
    <t>TOTAL DEL REF Y CIUDADANO</t>
  </si>
  <si>
    <t>Jesus Ernesto Romero Tobar</t>
  </si>
  <si>
    <t>Jefe de Desarrollo Urbano y Proyectos</t>
  </si>
  <si>
    <t xml:space="preserve"> Desarrollo Urbano y Proyectos</t>
  </si>
  <si>
    <t>Silvio Cesar Reyes Sanchez</t>
  </si>
  <si>
    <t xml:space="preserve">Sub jefe </t>
  </si>
  <si>
    <t>Blanca Raquel Valladares Varela</t>
  </si>
  <si>
    <t>Asistente de Desarr. Urb. y Proy.</t>
  </si>
  <si>
    <t>José Reinaldo Vásquez</t>
  </si>
  <si>
    <t>Antonio Valencia Sanchez</t>
  </si>
  <si>
    <t>Topografo</t>
  </si>
  <si>
    <t>René Orellana Orellana</t>
  </si>
  <si>
    <t>Enc. de Des. Urbano</t>
  </si>
  <si>
    <t>Santos Cristobal Leiva Acevedo</t>
  </si>
  <si>
    <t>Colaborador de Desarrollo Urbano</t>
  </si>
  <si>
    <t>Mario José Leiva Estrada</t>
  </si>
  <si>
    <t>TOTAL  DE DESARROLLO URBANO Y PROYECTOS</t>
  </si>
  <si>
    <t>ULISES ALFIDIO SIBRIAN NAVARRO</t>
  </si>
  <si>
    <t>Jefe de Unidad Medica</t>
  </si>
  <si>
    <t>Unidad Médica</t>
  </si>
  <si>
    <t>Elsy Janeth Borja Figueroa</t>
  </si>
  <si>
    <t>Sub jefe</t>
  </si>
  <si>
    <t>Angelica María Vásquez</t>
  </si>
  <si>
    <t xml:space="preserve">Promotor en Salud </t>
  </si>
  <si>
    <t>Cecilia Nohemy Mejía Alvarado</t>
  </si>
  <si>
    <t>TOTAL DE UNIDAD MEDICA</t>
  </si>
  <si>
    <t>TOTAL LINEA DE TRABAJO 0201</t>
  </si>
  <si>
    <t>MIRNA ELIZABETH NAVARRETE MIRANDA</t>
  </si>
  <si>
    <t>Enc. de Promocion en Salud</t>
  </si>
  <si>
    <t>Unidad de Promocion en Salud</t>
  </si>
  <si>
    <t>0202</t>
  </si>
  <si>
    <t>TOTAL DE UNIDAD DE PROMOCION EN SALUD</t>
  </si>
  <si>
    <t>MANUEL DE JESUS GONZALEZ SANTOS</t>
  </si>
  <si>
    <t>Jefe de Proyección Social</t>
  </si>
  <si>
    <t>Proyección Social</t>
  </si>
  <si>
    <t>Sigfredo Flores Rivas</t>
  </si>
  <si>
    <t>Bessi Esmeralda Aguilar de Pineda</t>
  </si>
  <si>
    <t>Secretaria de Proy. Social</t>
  </si>
  <si>
    <t>Anacleto Cuellar</t>
  </si>
  <si>
    <t>Motorista de Proyección</t>
  </si>
  <si>
    <t>Elvin Vladimir  Ganuza Lara</t>
  </si>
  <si>
    <t>Encargado de Becas</t>
  </si>
  <si>
    <t>Manuel de Jesus Urias Arevalo</t>
  </si>
  <si>
    <t>Enc. De Logistica</t>
  </si>
  <si>
    <t>Jorge Ernesto Rivas Marroquin</t>
  </si>
  <si>
    <t>Promotor en Deportes</t>
  </si>
  <si>
    <t>José David Cruz Aguirre</t>
  </si>
  <si>
    <t>Promotor II</t>
  </si>
  <si>
    <t>Fabio Edgardo Batres Soto</t>
  </si>
  <si>
    <t>Promotor III</t>
  </si>
  <si>
    <t>Ana Maribel Ruíz Valiente</t>
  </si>
  <si>
    <t>Amelia Esperanza Cruz de Ramos</t>
  </si>
  <si>
    <t>Ana Lorena Rico</t>
  </si>
  <si>
    <t>Marcela Divina Hernández Hernández</t>
  </si>
  <si>
    <t>Ana Cristina Contreras de Alvarado</t>
  </si>
  <si>
    <t>Cindy Magali Vasquez de Pleitez</t>
  </si>
  <si>
    <t>Promotor IV</t>
  </si>
  <si>
    <t>José Luis Machuca Cubias</t>
  </si>
  <si>
    <t>Carlos Roberto  Carabantes Acuña</t>
  </si>
  <si>
    <t>Promotor V</t>
  </si>
  <si>
    <t>Melvin Alberto Beltran Hernandez</t>
  </si>
  <si>
    <t>Vilma Guadalupe Pérez Zacapa</t>
  </si>
  <si>
    <t>TOTAL DE PROYECCIÓN SOCIAL</t>
  </si>
  <si>
    <t>Moises David Bonilla Martínez</t>
  </si>
  <si>
    <t>Coord. Del CMPV</t>
  </si>
  <si>
    <t>CMPV</t>
  </si>
  <si>
    <t>Silvia Marleni Rosa de Ruiz</t>
  </si>
  <si>
    <t>Secretaria del CMPV</t>
  </si>
  <si>
    <t>Juan Francisco Galan Sanchez</t>
  </si>
  <si>
    <t>Colab. del CMPV</t>
  </si>
  <si>
    <t>Carlos Antonio Tobar Valladares</t>
  </si>
  <si>
    <t>Enc.de Centros de Alcances</t>
  </si>
  <si>
    <t>TOTAL DEL CMPV</t>
  </si>
  <si>
    <t>Jefe de Com. y Rel. Pùblicas</t>
  </si>
  <si>
    <t>Comunic. y Relac.Publicas</t>
  </si>
  <si>
    <t>Lic. Ever Eduardo Aguiluz Mendoza</t>
  </si>
  <si>
    <t>Encargado de Prensa</t>
  </si>
  <si>
    <t>Claudia Lorena Bonilla Herrera</t>
  </si>
  <si>
    <t>Asistente de Comunic. Y Relac. Pub.</t>
  </si>
  <si>
    <t>Alvaro Ivan Rodriguez Rodriguez</t>
  </si>
  <si>
    <t>Gerson Emanuel Hernandez Perez</t>
  </si>
  <si>
    <t>Jose Miguel Hernandez Perez</t>
  </si>
  <si>
    <t>Joel Francisco Cortez Peña</t>
  </si>
  <si>
    <t>Emerson Alexis Guzman Flores</t>
  </si>
  <si>
    <t>TOTAL DE COMUNICACIONES Y RELACIONES PUB.</t>
  </si>
  <si>
    <t>Vidal Ernesto Orellana Luna</t>
  </si>
  <si>
    <t xml:space="preserve">Director </t>
  </si>
  <si>
    <t>C.A.M</t>
  </si>
  <si>
    <t>Jose Ovidio Beltran</t>
  </si>
  <si>
    <t>Sub Director</t>
  </si>
  <si>
    <t>Maria del Pilar Ramirez de Reyes</t>
  </si>
  <si>
    <t>Moises Escobar</t>
  </si>
  <si>
    <t>José Osmin Martínez Méndez</t>
  </si>
  <si>
    <t>David Humberto Carlos Gómez</t>
  </si>
  <si>
    <t>Agente II</t>
  </si>
  <si>
    <t>Carlos Salvador Medrano Mancia</t>
  </si>
  <si>
    <t>José Antonio Selim Martínez</t>
  </si>
  <si>
    <t>Agustin Cordova</t>
  </si>
  <si>
    <t>Agente III</t>
  </si>
  <si>
    <t>José Orlando Carbajal Menjivar</t>
  </si>
  <si>
    <t>Agente IV</t>
  </si>
  <si>
    <t>Juan Antonio Rivera Rivera</t>
  </si>
  <si>
    <t>José Antonio Ruíz</t>
  </si>
  <si>
    <t>Guillermo Mauricio Torres</t>
  </si>
  <si>
    <t>Ada Mirna Romero Merino</t>
  </si>
  <si>
    <t>Gerardo Martinez</t>
  </si>
  <si>
    <t>Oscar Mauricio Menjivar Peraza</t>
  </si>
  <si>
    <t>Rosa Elena Nuñez de Mejía</t>
  </si>
  <si>
    <t>Rafael de Jesús Grijalva López</t>
  </si>
  <si>
    <t>Rene Antonio Velasquez Mata</t>
  </si>
  <si>
    <t>Manuel Antonio Rendón</t>
  </si>
  <si>
    <t>Juan José Subvado Oliva</t>
  </si>
  <si>
    <t>Andres Hernández Saravia</t>
  </si>
  <si>
    <t>Victor Manuel Arrue</t>
  </si>
  <si>
    <t>Agente V</t>
  </si>
  <si>
    <t>Juan Alvarado Alvarado</t>
  </si>
  <si>
    <t>Zoila Dolores Velasquez Romero</t>
  </si>
  <si>
    <t>Sergio Pérez Ramos</t>
  </si>
  <si>
    <t>Hernan Méndez García</t>
  </si>
  <si>
    <t>José German Calderon Sanchez</t>
  </si>
  <si>
    <t>Edgar Eduardo Vanegas Flores</t>
  </si>
  <si>
    <t>Wilberto Zavala García</t>
  </si>
  <si>
    <t>Douglas Aleman Cabrera</t>
  </si>
  <si>
    <t>Agente VI</t>
  </si>
  <si>
    <t>Elmer Rafael Mendoza Ramos</t>
  </si>
  <si>
    <t>Francisco Ariel Hernandez Ardon</t>
  </si>
  <si>
    <t>Jose Miguel Gonzalez López</t>
  </si>
  <si>
    <t>Cesar Alberto Ruiz Lemus</t>
  </si>
  <si>
    <t>TOTAL DEL CAM</t>
  </si>
  <si>
    <t>NESTOR IVAN RODRIGUEZ CORONADO</t>
  </si>
  <si>
    <t>Jefe de Servicios Publicos</t>
  </si>
  <si>
    <t>Serv.Public. Mpales.</t>
  </si>
  <si>
    <t>Jose Walter Hernandez Alvarado</t>
  </si>
  <si>
    <t>Sub Jefe de Servicios Publicos</t>
  </si>
  <si>
    <t>Jessica Patricia Castillo Contreras</t>
  </si>
  <si>
    <t>Bernabe Suriano Gómez</t>
  </si>
  <si>
    <t>TRANSPORTE</t>
  </si>
  <si>
    <t>Miguel Angel Melgar Caravantes</t>
  </si>
  <si>
    <t>Enc. de Transporte</t>
  </si>
  <si>
    <t>Mauricio Méndez</t>
  </si>
  <si>
    <t>Motorista de Vehículos I</t>
  </si>
  <si>
    <t>Raúl Andres Montoya Castro</t>
  </si>
  <si>
    <t>Benedicto de Jesús Aguilar Martinez</t>
  </si>
  <si>
    <t>Motorista de Vehículos II</t>
  </si>
  <si>
    <t>Jose Alejandro Lemus Alvarenga</t>
  </si>
  <si>
    <t>Manuel de Jesus Mejía Rivera</t>
  </si>
  <si>
    <t>Motorista de Vehiculos III</t>
  </si>
  <si>
    <t>William Osbaldo Herrera Alvarado</t>
  </si>
  <si>
    <t>José Antonio Rivas</t>
  </si>
  <si>
    <t>Motorista de Desechos  I</t>
  </si>
  <si>
    <t>Danilo Bladimir Cuellar</t>
  </si>
  <si>
    <t>Arnulfo Ramos Zepeda</t>
  </si>
  <si>
    <t>Motorista de Desechos II</t>
  </si>
  <si>
    <t>Roberto Carlos Erazo Lazo</t>
  </si>
  <si>
    <t>Motorista de Desechos III</t>
  </si>
  <si>
    <t>Cecilio Rivera Guardado</t>
  </si>
  <si>
    <t xml:space="preserve">Operador de Cargador </t>
  </si>
  <si>
    <t>Isidro Orlando Hernández Gallegos</t>
  </si>
  <si>
    <t>Operador de Motoniveladora</t>
  </si>
  <si>
    <t>José Rufino Nuñez Olivar</t>
  </si>
  <si>
    <t>Auxiliar de Operador</t>
  </si>
  <si>
    <t>José Esteban Hernández Ruíz</t>
  </si>
  <si>
    <t>Operador de Tractor</t>
  </si>
  <si>
    <t>Julio Merino Ayala</t>
  </si>
  <si>
    <t>Operador de Minicargador</t>
  </si>
  <si>
    <t>ASEO</t>
  </si>
  <si>
    <t>Jose Antonio Guzman Escobar</t>
  </si>
  <si>
    <t>Encargado de Aseo</t>
  </si>
  <si>
    <t>Cruz García</t>
  </si>
  <si>
    <t>Peón de Aseo I</t>
  </si>
  <si>
    <t>Lorenzo Arévalo Maeda</t>
  </si>
  <si>
    <t>Eleuterio Hernández Méndez</t>
  </si>
  <si>
    <t>José Mauricio Arriola Guerra</t>
  </si>
  <si>
    <t>Peón de Aseo II</t>
  </si>
  <si>
    <t>Atilio Alberto Galdamez</t>
  </si>
  <si>
    <t>Miguel Angel Romero Amaya</t>
  </si>
  <si>
    <t>Felipe Auterio Arcia</t>
  </si>
  <si>
    <t>Mauricio García García</t>
  </si>
  <si>
    <t>Peón de Aseo III</t>
  </si>
  <si>
    <t>Luis Guillermo Moran Elías</t>
  </si>
  <si>
    <t>Peón de Aseo  III</t>
  </si>
  <si>
    <t>Juan López Anzora</t>
  </si>
  <si>
    <t>Lino Alberto López Chachagua</t>
  </si>
  <si>
    <t>Jorge Luis Guardado Villalta</t>
  </si>
  <si>
    <t>Carlos Bladimir Cortez Franco</t>
  </si>
  <si>
    <t>Jose Adolfo Cisneros Tejada</t>
  </si>
  <si>
    <t>Peón de Aseo  IV</t>
  </si>
  <si>
    <t>Carlos Alberto Torres Meléndez</t>
  </si>
  <si>
    <t>José Marlon Ascencio Sandoval</t>
  </si>
  <si>
    <t>Julian Bernal Castro</t>
  </si>
  <si>
    <t>Juan Gabriel Chavez Ortiz</t>
  </si>
  <si>
    <t>Eduardo Cortez</t>
  </si>
  <si>
    <t>Ladislao Herniquez</t>
  </si>
  <si>
    <t xml:space="preserve">Francisco Ernesto Vega Ramirez </t>
  </si>
  <si>
    <t>Victor Alexander Escalante Linares</t>
  </si>
  <si>
    <t>Wilber Alexander López Cayetano</t>
  </si>
  <si>
    <t>Nilsson Emmanuel Olla Castillo</t>
  </si>
  <si>
    <t>Enc. de Recolec. Disp´. Desech.</t>
  </si>
  <si>
    <t>Raúl Antonio Rosa Escamilla</t>
  </si>
  <si>
    <t>Peón de Recolec.  Desech. I</t>
  </si>
  <si>
    <t>Juan Antonio Figueroa Carbajal</t>
  </si>
  <si>
    <t>Miguel Sandoval</t>
  </si>
  <si>
    <t>José Oscar Rivas</t>
  </si>
  <si>
    <t>Daniel Alexander García</t>
  </si>
  <si>
    <t>Carlos Alfredo Salmerón Cortéz</t>
  </si>
  <si>
    <t>Nelson Antonio Hernández</t>
  </si>
  <si>
    <t>Peón de Recolec. Desech. II</t>
  </si>
  <si>
    <t>Ezequiel Pérez Rodas</t>
  </si>
  <si>
    <t>Felix Alberto García</t>
  </si>
  <si>
    <t>Douglas López Alfaro</t>
  </si>
  <si>
    <t>José Irene Orellana Rivas</t>
  </si>
  <si>
    <t>Pedro Juan Ayala García</t>
  </si>
  <si>
    <t>Abilio Honorato Villalobos Quezada</t>
  </si>
  <si>
    <t>Wilfredo Ernesto Muñoz</t>
  </si>
  <si>
    <t>José Domingo Arévalo Martínez</t>
  </si>
  <si>
    <t>Peón de Recolec. Desech. III</t>
  </si>
  <si>
    <t>Juan Carlos Garcia Trujillo</t>
  </si>
  <si>
    <t>Ricardo Alfonso Mejía Centeno</t>
  </si>
  <si>
    <t>Santos Willian Jovel Flores</t>
  </si>
  <si>
    <t>Ismael Oswaldo Vides Flores</t>
  </si>
  <si>
    <t>José Dolores Rauda Franco</t>
  </si>
  <si>
    <t>Peón de Recolec. Desech. IV</t>
  </si>
  <si>
    <t>Armando Hernández</t>
  </si>
  <si>
    <t>Jose David Anaya Ruiz</t>
  </si>
  <si>
    <t>Wilber Jeovany Vides  Lemus</t>
  </si>
  <si>
    <t>Carlos Edilberto Valle Martínez</t>
  </si>
  <si>
    <t>Peón de Recolec. Desech. V</t>
  </si>
  <si>
    <t>Hugo Alfredo Patiño Rodriguez</t>
  </si>
  <si>
    <t>Peón de Saneamiento I</t>
  </si>
  <si>
    <t>Ruben de Jesús Guzmán</t>
  </si>
  <si>
    <t>Peón de Saneamiento II</t>
  </si>
  <si>
    <t>Elson Balmore Galdamez Sanchez</t>
  </si>
  <si>
    <t>Juan Antonio Pérez Garcia</t>
  </si>
  <si>
    <t>Peón de Saneamiento III</t>
  </si>
  <si>
    <t>PARQUES Y ESPACIOS PUBLICOS</t>
  </si>
  <si>
    <t>Isabel de Jesus Serrano López</t>
  </si>
  <si>
    <t>Enc. de Parque Botanico</t>
  </si>
  <si>
    <t>Ovel Henríquez López</t>
  </si>
  <si>
    <t>Enc. de Espacios Publicos</t>
  </si>
  <si>
    <t>Eulalio Antonio López Ramos</t>
  </si>
  <si>
    <t>Enc. de Parque Infantil</t>
  </si>
  <si>
    <t>Natanael Orantes Hernández</t>
  </si>
  <si>
    <t>Coord. del minipolideportivo</t>
  </si>
  <si>
    <t>Ricardo Hernández</t>
  </si>
  <si>
    <t>Jardinero</t>
  </si>
  <si>
    <t>Ernesto Avila Alvarez</t>
  </si>
  <si>
    <t>Peón de Aseo del parque botanico</t>
  </si>
  <si>
    <t>José Antonio Bautista Juarez</t>
  </si>
  <si>
    <t>Peón de Aseo del Miniestadio</t>
  </si>
  <si>
    <t>Wilfredo Guardado Pineda</t>
  </si>
  <si>
    <t>Peon de Aseo del parque metalío</t>
  </si>
  <si>
    <t>ALUMBRADO PUBLICO</t>
  </si>
  <si>
    <t>Raúl Ernesto Rodríguez</t>
  </si>
  <si>
    <t xml:space="preserve">Electricista I </t>
  </si>
  <si>
    <t>Manuel de Jesús Nuñez Olivares</t>
  </si>
  <si>
    <t>Colaborador de Electricista</t>
  </si>
  <si>
    <t>CEMENTERIO</t>
  </si>
  <si>
    <t>Santos Hernández</t>
  </si>
  <si>
    <t>Custodio de Cementerio</t>
  </si>
  <si>
    <t>José Eduardo Mejía Alas</t>
  </si>
  <si>
    <t>Encargado de Mtto. Y Ornato</t>
  </si>
  <si>
    <t>MANTENIMIENTO GENERAL</t>
  </si>
  <si>
    <t>Moises Arnoldo Rosa Escamilla</t>
  </si>
  <si>
    <t>Encargado de Mtto. Gral.</t>
  </si>
  <si>
    <t>Reyes Alvaro Zaracay Ramirez</t>
  </si>
  <si>
    <t>Peón de Mantenimiento II</t>
  </si>
  <si>
    <t>Carlos Roberto Flores Ruíz</t>
  </si>
  <si>
    <t>Pintor</t>
  </si>
  <si>
    <t>Jorge Alexander Jimenez</t>
  </si>
  <si>
    <t>Mecánico</t>
  </si>
  <si>
    <t>TOTAL DE SERVICIOS PUB. MUNICIPALES</t>
  </si>
  <si>
    <t>Willian Ramon Alfredo Baños Nuñez</t>
  </si>
  <si>
    <t>Admor. de Mercados y Terminal</t>
  </si>
  <si>
    <t>Mercados y Terminal</t>
  </si>
  <si>
    <t xml:space="preserve">  </t>
  </si>
  <si>
    <t>Willian Elvin Lara Turcios</t>
  </si>
  <si>
    <t>Walter Jeovany Pineda Equizabal</t>
  </si>
  <si>
    <t>Esmeralda del Carmen Hernàndez</t>
  </si>
  <si>
    <t>Karla María Villalta de Angel</t>
  </si>
  <si>
    <t>Cobrador I</t>
  </si>
  <si>
    <t>Juan Vicente Menjivar</t>
  </si>
  <si>
    <t>José Rosa Moreno Quinteros</t>
  </si>
  <si>
    <t>Ivan Alexander Ramirez Pineda</t>
  </si>
  <si>
    <t>Cobrador II</t>
  </si>
  <si>
    <t>Marta Lilian Flores Amaya</t>
  </si>
  <si>
    <t>Cobrador III</t>
  </si>
  <si>
    <t>Jonathan Napoleon Moreno Quijada</t>
  </si>
  <si>
    <t>Benedicto Ortíz Pérez</t>
  </si>
  <si>
    <t>José Dionisio Méndez Ramírez</t>
  </si>
  <si>
    <t>José Angel Rivera Caceres</t>
  </si>
  <si>
    <t>Gustavo Adolfo Quijada Carranza</t>
  </si>
  <si>
    <t>Luis Antonio Arévalo Urquilla</t>
  </si>
  <si>
    <t>Peón de Saneamiento IV</t>
  </si>
  <si>
    <t>Juan Antonio Canizalez Pleitez</t>
  </si>
  <si>
    <t>TOTAL DE MERCADOS Y TERMINAL</t>
  </si>
  <si>
    <t>TOTAL DE LINEA 0202</t>
  </si>
  <si>
    <t>TOTAL GENERAL</t>
  </si>
  <si>
    <t>Jose Marcelino Bonilla</t>
  </si>
  <si>
    <t>TOTAL DE LA UNIDAD DE LA NIÑEZ Y ADOLESCENCIA</t>
  </si>
  <si>
    <t>TOTAL DE LA UNIDAD DE LA MUJER Y GENERO</t>
  </si>
  <si>
    <t>Prestaciones</t>
  </si>
  <si>
    <t>TOTAL DE VACACIONES</t>
  </si>
  <si>
    <t>Vacación</t>
  </si>
  <si>
    <t>AFP´S 7.75%</t>
  </si>
  <si>
    <t>IPSFA 6%</t>
  </si>
  <si>
    <t>INPEP 7.5%</t>
  </si>
  <si>
    <t>ISSS  7.5%</t>
  </si>
  <si>
    <t>INSAFORP 1%</t>
  </si>
  <si>
    <t xml:space="preserve">Encargado(a) de Turismo </t>
  </si>
  <si>
    <t xml:space="preserve">Enc. de Unidad de Gestion y Cooperación </t>
  </si>
  <si>
    <t xml:space="preserve">Unidad de Gestion y Cooperación </t>
  </si>
  <si>
    <t xml:space="preserve">Auditoria Interna </t>
  </si>
  <si>
    <t>Jefe de Asesoría Jurídica</t>
  </si>
  <si>
    <t>Asesoria Juridica</t>
  </si>
  <si>
    <t>Unidad de Atencion al Cliente</t>
  </si>
  <si>
    <t>TOTAL LINEA DE TRABAJO 0101</t>
  </si>
  <si>
    <t>Colaborador de UACI</t>
  </si>
  <si>
    <t>Colaborador de Proveeduria</t>
  </si>
  <si>
    <t>Encargado de Ctas. Corrientes</t>
  </si>
  <si>
    <t>Encargado de Fiscalización</t>
  </si>
  <si>
    <t>TOTAL LINEA DE TRABAJO 0102</t>
  </si>
  <si>
    <t>Encargado de Des. Urbano</t>
  </si>
  <si>
    <t>Colaborador de Des. Urbano</t>
  </si>
  <si>
    <t>Jefe de Proyeccion Social</t>
  </si>
  <si>
    <t>Encargado  de Prensa</t>
  </si>
  <si>
    <t>Motorista de Vehículos III</t>
  </si>
  <si>
    <t>Peón de Aseo IV</t>
  </si>
  <si>
    <t>Enc. de Recolec. Disp. Desech.</t>
  </si>
  <si>
    <t>Peón de Recolec. Desech. I</t>
  </si>
  <si>
    <t xml:space="preserve">Coord. del Minipolideportivo </t>
  </si>
  <si>
    <t>ALUMBRADO PÚBLICO</t>
  </si>
  <si>
    <t>Enc. de Mantenimiento Gral.</t>
  </si>
  <si>
    <t>Mecanico</t>
  </si>
  <si>
    <t>TOTAL DE LA UNIDAD DE  CULTURA</t>
  </si>
  <si>
    <t>Juana Antonia Melgar de Romero</t>
  </si>
  <si>
    <t>Dora Idalia</t>
  </si>
  <si>
    <t xml:space="preserve">Unidad de Gestión Documental de Archivo </t>
  </si>
  <si>
    <t>TOTAL DE UNIDAD DE GESTION DOCUMENTAL DE ARCHIVO</t>
  </si>
  <si>
    <t>TOTAL DE GERENCIA ADMINISTRATIVA Y FINANCIERA</t>
  </si>
  <si>
    <t>Gerente Administrativo y Financiero</t>
  </si>
  <si>
    <t>Jefe UFI</t>
  </si>
  <si>
    <t>TOTAL DE UNIDAD FINANCIERA INSTITUCIONAL</t>
  </si>
  <si>
    <t>Unidad de Bienestar Social</t>
  </si>
  <si>
    <t>TOTAL DE UNIDAD DE BIENESTAR SOCIAL</t>
  </si>
  <si>
    <t>Unidad de la Mujer y Genero</t>
  </si>
  <si>
    <t>Unidad de la Niñez y Adolescencia</t>
  </si>
  <si>
    <t>Encargada de la Unidad de la Mujer y Genero</t>
  </si>
  <si>
    <t>Unidad de Banda y Filarmonica Municipal</t>
  </si>
  <si>
    <t>Unidad de Reconstruccion y Tejido Social</t>
  </si>
  <si>
    <t>Enc. De Unidad de Banda y Filarmonica Mpal</t>
  </si>
  <si>
    <t>Unidad de Deportes</t>
  </si>
  <si>
    <t>Enc. De Unidad de Deportes</t>
  </si>
  <si>
    <t>TOTAL LINEA DE TRABAJO 0202</t>
  </si>
  <si>
    <t>Enc. De Unidad Agropecuaria</t>
  </si>
  <si>
    <t>Unidad Agropecuaria</t>
  </si>
  <si>
    <t>TOTAL DE UNIDAD AGROPECUARIA</t>
  </si>
  <si>
    <t>0203,</t>
  </si>
  <si>
    <t xml:space="preserve"> TOTAL LINEA DE TRABAJO 0203</t>
  </si>
  <si>
    <t>Enc. De Distrito</t>
  </si>
  <si>
    <t>Enc. De Rastro Mpal</t>
  </si>
  <si>
    <t>Unidad de  Cultura</t>
  </si>
  <si>
    <t>Unidad de Turismo</t>
  </si>
  <si>
    <t>Encargado de Soporte Tecn. De Equipo</t>
  </si>
  <si>
    <t>Asistente de la UTIC</t>
  </si>
  <si>
    <t>Enc. De la Unid. de la Niñez y Adolesc.</t>
  </si>
  <si>
    <t>Tec. Asistencia Turistica</t>
  </si>
  <si>
    <t>Maestros de musica</t>
  </si>
  <si>
    <t>Tec. Agropecuario</t>
  </si>
  <si>
    <t>Motorista de Desechos IV</t>
  </si>
  <si>
    <t>Colaborador de Tesorería II</t>
  </si>
  <si>
    <t>Promotor I</t>
  </si>
  <si>
    <t>ALCALDÍA MUNICIPAL DE ACAJUTLA</t>
  </si>
  <si>
    <t>Agente I</t>
  </si>
  <si>
    <t>Enc. De Unidad de Atencion al Cliente</t>
  </si>
  <si>
    <t>Encargado de Unidad de Gestion Documental de Archivo</t>
  </si>
  <si>
    <t>Asistente de UATM</t>
  </si>
  <si>
    <t xml:space="preserve">Ordenanza </t>
  </si>
  <si>
    <t>Psicologo</t>
  </si>
  <si>
    <t>Digitador del REF</t>
  </si>
  <si>
    <t>Bodeguero</t>
  </si>
  <si>
    <t>Auxiliar de Mecànico</t>
  </si>
  <si>
    <t>PROYECCIÓN DE REMUNERACIONES POR VACACION PARA EL AÑO 2022</t>
  </si>
  <si>
    <t>Colab. de Presupuesto</t>
  </si>
  <si>
    <t>Encargado de Soporte Tecnico de Equipo</t>
  </si>
  <si>
    <t>Colaborador de UTIC</t>
  </si>
  <si>
    <t>Notificador III</t>
  </si>
  <si>
    <t>Unidad Financiera Institucional</t>
  </si>
  <si>
    <t>Ordenanza</t>
  </si>
  <si>
    <t>Encargada de la Unidad de la Niñez y Adolescencia</t>
  </si>
  <si>
    <t>Unidad de Banda y Filarmonica Mpal</t>
  </si>
  <si>
    <t>Maestro de Musica</t>
  </si>
  <si>
    <t xml:space="preserve">Unidad de Turismo </t>
  </si>
  <si>
    <t xml:space="preserve">TOTAL DE LA UNIDAD DE TURISMO </t>
  </si>
  <si>
    <t>TOTAL DE LA UNIDAD DE DEPORTES</t>
  </si>
  <si>
    <t>0203</t>
  </si>
  <si>
    <t>Enc. De Electricistas</t>
  </si>
  <si>
    <t>Auxiliar de Mecánico</t>
  </si>
  <si>
    <t>TOTAL DE LINEA DE TRABAJO 0201</t>
  </si>
  <si>
    <t>TOTAL DE LINEA DE TRABAJO 0101</t>
  </si>
  <si>
    <t>Peón de Aseo V</t>
  </si>
  <si>
    <t xml:space="preserve">                        ALCALDÍA MUNICIPAL DE ACAJUTLA</t>
  </si>
  <si>
    <t>PROYECCIÓN DE REMUNERACIONES AÑO 2022</t>
  </si>
  <si>
    <t>Gerencia Gral</t>
  </si>
  <si>
    <t>Gerencia Administrativo y Financiero</t>
  </si>
  <si>
    <t>Maestro de Danza</t>
  </si>
  <si>
    <t>Gerente General</t>
  </si>
  <si>
    <t>Arquitecto</t>
  </si>
  <si>
    <t>TOTAL DE GERENCIA GENERAL</t>
  </si>
  <si>
    <t>TOTAL DE DISTRITO MPAL.</t>
  </si>
  <si>
    <t>subdelegada</t>
  </si>
  <si>
    <t>Gerencia Administrativa y Financiera</t>
  </si>
  <si>
    <t>Paramedico</t>
  </si>
  <si>
    <t>Supervisora de Ordenanzas</t>
  </si>
  <si>
    <t>Encargado de Plaza Artesanal</t>
  </si>
  <si>
    <t>Enc. de Analisis Financiero</t>
  </si>
  <si>
    <t>Unidad Financiera Isntitucional</t>
  </si>
  <si>
    <t>Coord. De Centros de Bienestar Social</t>
  </si>
  <si>
    <t xml:space="preserve">Colaborador de Logistica </t>
  </si>
  <si>
    <t>Enc. De Unidad de Reconstruccion del Tejido Social</t>
  </si>
  <si>
    <t>Ordenanza de Servicios Públicos</t>
  </si>
  <si>
    <t>Motorista de Desechos I</t>
  </si>
  <si>
    <t>Enc. De Cancha Obelisco</t>
  </si>
  <si>
    <t>Peon de Mantenimiento</t>
  </si>
  <si>
    <t>Supervisor</t>
  </si>
  <si>
    <t>Gerencia General</t>
  </si>
  <si>
    <t>Enc. De Seguridad Ocupacional</t>
  </si>
  <si>
    <t>Encargado de Redes y Comunicaciones</t>
  </si>
  <si>
    <t>Distrito</t>
  </si>
  <si>
    <t>Encargada de Pagos</t>
  </si>
  <si>
    <t>Enc. de Unidad de Bienestar Social Y Prevención de la Violencia</t>
  </si>
  <si>
    <t>Colab Niñez</t>
  </si>
  <si>
    <t>Promotor en Salud</t>
  </si>
  <si>
    <t>Unidad de Reconstruccion del Tejido Social</t>
  </si>
  <si>
    <t>Peón de Aseo del Parque Botanico</t>
  </si>
  <si>
    <t>Peon de Aseo del Parque Metalío</t>
  </si>
  <si>
    <t>TOTAL DE LA UNIDAD CONTRAVENCIONAL</t>
  </si>
  <si>
    <t xml:space="preserve">Enc. De La Unidad de Mediación </t>
  </si>
  <si>
    <t xml:space="preserve">Unidad de Mediación </t>
  </si>
  <si>
    <t>Permanente</t>
  </si>
  <si>
    <t xml:space="preserve">Eventual </t>
  </si>
  <si>
    <t>Enc. de Unidad de Mediacion</t>
  </si>
  <si>
    <t>Eventual</t>
  </si>
  <si>
    <t>TOTAL DE LA UNIDAD DE  MEDIACION</t>
  </si>
  <si>
    <t>TOTAL DE LA UNIDAD DE RECONSTRUCCION Y TEJIDO SOCIAL</t>
  </si>
  <si>
    <t>TOTAL LINEA DE TRABAJO 0203</t>
  </si>
  <si>
    <t>Subdelegada</t>
  </si>
  <si>
    <t xml:space="preserve">Gerente Administrativo y Financiero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</si>
  <si>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Enc. de Unidad de  Gestion y Cooperación</t>
  </si>
  <si>
    <t>Enc. De Redes y Comunicaciones</t>
  </si>
  <si>
    <t>Enc. de Pagos</t>
  </si>
  <si>
    <t>Admon. Mercados y Terminal</t>
  </si>
  <si>
    <t xml:space="preserve">R.E.F </t>
  </si>
  <si>
    <t xml:space="preserve">Unidad Contravencional </t>
  </si>
  <si>
    <t xml:space="preserve">TOTAL DE LA UNIDAD CONTRAVENCIONAL </t>
  </si>
  <si>
    <t>TOTAL DEL REGISTRO DEL ESTADO FAMILIAR</t>
  </si>
  <si>
    <t>Departamento o Unidad</t>
  </si>
  <si>
    <t>TOTAL DE UNIDAD DE ADQUISICIONES Y CONTRATACIONES INSTITUCIONAL (UACI)</t>
  </si>
  <si>
    <t>TOTAL DE UNIDAD DE ADMINISTRACION TRIBUTARIA MUNICIPAL (UATM)</t>
  </si>
  <si>
    <t>TOTAL DE UNIDAD DE BANDADA Y FILARMONICA MUNICIPAL</t>
  </si>
  <si>
    <t>Unidad de Bolsa de Empleo</t>
  </si>
  <si>
    <t xml:space="preserve">Jefe del REF </t>
  </si>
  <si>
    <t>Secretaria Municipal</t>
  </si>
  <si>
    <t>Encargado de Plaza Cultural</t>
  </si>
  <si>
    <t>Unidad de Tecnologías de la Información y Comunicación</t>
  </si>
  <si>
    <t>Jefe de Unidad de Tecnologías de la Información y Comunicación</t>
  </si>
  <si>
    <t>Colaborador de la UTIC</t>
  </si>
  <si>
    <t>Cajera</t>
  </si>
  <si>
    <t>Colab. De la Niñez</t>
  </si>
  <si>
    <t xml:space="preserve">Enc de Unidad de Reconstruccion y Tejido Social                                                            </t>
  </si>
  <si>
    <t>Encargado de Cultura</t>
  </si>
  <si>
    <t xml:space="preserve">Tec. Asistencia Turistica </t>
  </si>
  <si>
    <t>Agente ll</t>
  </si>
  <si>
    <t>Enc. de centros de Alcance</t>
  </si>
  <si>
    <t>Sub jefe de Proyección Social</t>
  </si>
  <si>
    <t>Encargada de Becas</t>
  </si>
  <si>
    <t>Peón de Aseo  Ill</t>
  </si>
  <si>
    <t>Peón de Aseo Ill</t>
  </si>
  <si>
    <t>Peón de Recolec. Desech. lV</t>
  </si>
  <si>
    <t>Peón de Recolec. Desech. lll</t>
  </si>
  <si>
    <t xml:space="preserve">AFP CONFIA MENSUAL </t>
  </si>
  <si>
    <t xml:space="preserve">AFP CRECER MENSUAL </t>
  </si>
  <si>
    <t>Enc. de  Parque Botanico</t>
  </si>
  <si>
    <t>Encargado de Parque Infantil</t>
  </si>
  <si>
    <t>Coord. del Minipolideportivo</t>
  </si>
  <si>
    <t>Encargado de Cancha Obelisco</t>
  </si>
  <si>
    <t>FONDOS PROPIOS</t>
  </si>
  <si>
    <t>FONDOS FODES LIBRE DISP.</t>
  </si>
  <si>
    <t>TOTAL REMUNERACIONES</t>
  </si>
  <si>
    <t>Libre Disponibilidad</t>
  </si>
  <si>
    <t>Fondos Propios</t>
  </si>
  <si>
    <t>GASTOS DE REPRES. EN EL EXTERIOR</t>
  </si>
  <si>
    <t>F. PROPIOS</t>
  </si>
  <si>
    <t>LIB. DISPO.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</si>
</sst>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_-;\-* #,##0_-;_-* &quot;-&quot;??_-;_-@_-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 Narrow"/>
      <family val="2"/>
    </font>
    <font>
      <b/>
      <sz val="10"/>
      <name val="Arial Narrow"/>
      <family val="2"/>
    </font>
    <font>
      <b/>
      <sz val="6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sz val="7"/>
      <color rgb="FFFF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Batang"/>
      <family val="1"/>
    </font>
    <font>
      <sz val="8"/>
      <color theme="1"/>
      <name val="Arial"/>
      <family val="2"/>
    </font>
    <font>
      <sz val="9"/>
      <color indexed="10"/>
      <name val="Arial"/>
      <family val="2"/>
    </font>
    <font>
      <sz val="12"/>
      <name val="Batang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 Narrow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Arial"/>
      <family val="2"/>
    </font>
    <font>
      <sz val="7"/>
      <color rgb="FFFF0000"/>
      <name val="Arial Narrow"/>
      <family val="2"/>
    </font>
    <font>
      <sz val="7"/>
      <color indexed="10"/>
      <name val="Arial"/>
      <family val="2"/>
    </font>
    <font>
      <sz val="7"/>
      <color theme="1"/>
      <name val="Arial Narrow"/>
      <family val="2"/>
    </font>
    <font>
      <sz val="5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left"/>
    </xf>
    <xf numFmtId="165" fontId="7" fillId="0" borderId="1" xfId="1" applyNumberFormat="1" applyFont="1" applyBorder="1"/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44" fontId="10" fillId="0" borderId="1" xfId="2" applyFont="1" applyBorder="1" applyAlignment="1">
      <alignment horizontal="right"/>
    </xf>
    <xf numFmtId="2" fontId="10" fillId="0" borderId="1" xfId="2" applyNumberFormat="1" applyFont="1" applyBorder="1" applyAlignment="1">
      <alignment horizontal="right"/>
    </xf>
    <xf numFmtId="2" fontId="9" fillId="0" borderId="1" xfId="2" applyNumberFormat="1" applyFont="1" applyBorder="1" applyAlignment="1">
      <alignment horizontal="right"/>
    </xf>
    <xf numFmtId="44" fontId="9" fillId="0" borderId="1" xfId="2" applyFont="1" applyBorder="1" applyAlignment="1">
      <alignment horizontal="right"/>
    </xf>
    <xf numFmtId="44" fontId="0" fillId="0" borderId="1" xfId="2" applyFont="1" applyBorder="1"/>
    <xf numFmtId="2" fontId="6" fillId="0" borderId="1" xfId="1" applyNumberFormat="1" applyFont="1" applyBorder="1" applyAlignment="1">
      <alignment horizontal="center"/>
    </xf>
    <xf numFmtId="0" fontId="7" fillId="3" borderId="5" xfId="0" applyFont="1" applyFill="1" applyBorder="1"/>
    <xf numFmtId="165" fontId="11" fillId="0" borderId="1" xfId="1" applyNumberFormat="1" applyFont="1" applyBorder="1"/>
    <xf numFmtId="0" fontId="8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/>
    </xf>
    <xf numFmtId="44" fontId="12" fillId="0" borderId="1" xfId="2" applyFont="1" applyBorder="1" applyAlignment="1">
      <alignment horizontal="right"/>
    </xf>
    <xf numFmtId="44" fontId="13" fillId="0" borderId="1" xfId="2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3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44" fontId="15" fillId="0" borderId="1" xfId="2" applyFont="1" applyBorder="1" applyAlignment="1">
      <alignment horizontal="right"/>
    </xf>
    <xf numFmtId="2" fontId="14" fillId="3" borderId="1" xfId="1" applyNumberFormat="1" applyFont="1" applyFill="1" applyBorder="1" applyAlignment="1">
      <alignment wrapText="1"/>
    </xf>
    <xf numFmtId="44" fontId="9" fillId="3" borderId="1" xfId="2" applyFont="1" applyFill="1" applyBorder="1" applyAlignment="1">
      <alignment horizontal="right"/>
    </xf>
    <xf numFmtId="0" fontId="6" fillId="3" borderId="1" xfId="0" applyFont="1" applyFill="1" applyBorder="1"/>
    <xf numFmtId="0" fontId="16" fillId="0" borderId="1" xfId="0" applyFont="1" applyBorder="1" applyAlignment="1">
      <alignment horizontal="center"/>
    </xf>
    <xf numFmtId="165" fontId="17" fillId="0" borderId="1" xfId="1" applyNumberFormat="1" applyFont="1" applyFill="1" applyBorder="1"/>
    <xf numFmtId="44" fontId="13" fillId="0" borderId="1" xfId="2" applyFont="1" applyFill="1" applyBorder="1" applyAlignment="1">
      <alignment horizontal="right"/>
    </xf>
    <xf numFmtId="44" fontId="3" fillId="0" borderId="1" xfId="2" applyFont="1" applyBorder="1" applyAlignment="1">
      <alignment horizontal="right"/>
    </xf>
    <xf numFmtId="44" fontId="9" fillId="0" borderId="1" xfId="2" applyFont="1" applyFill="1" applyBorder="1" applyAlignment="1">
      <alignment horizontal="right"/>
    </xf>
    <xf numFmtId="44" fontId="15" fillId="3" borderId="1" xfId="2" applyFont="1" applyFill="1" applyBorder="1" applyAlignment="1">
      <alignment horizontal="right"/>
    </xf>
    <xf numFmtId="44" fontId="10" fillId="3" borderId="1" xfId="2" applyFont="1" applyFill="1" applyBorder="1" applyAlignment="1">
      <alignment horizontal="right"/>
    </xf>
    <xf numFmtId="0" fontId="7" fillId="3" borderId="6" xfId="0" applyFont="1" applyFill="1" applyBorder="1"/>
    <xf numFmtId="44" fontId="14" fillId="0" borderId="1" xfId="2" applyFont="1" applyFill="1" applyBorder="1" applyAlignment="1">
      <alignment horizontal="right"/>
    </xf>
    <xf numFmtId="44" fontId="14" fillId="0" borderId="1" xfId="2" applyFont="1" applyBorder="1" applyAlignment="1">
      <alignment horizontal="right"/>
    </xf>
    <xf numFmtId="44" fontId="18" fillId="0" borderId="1" xfId="2" applyFont="1" applyBorder="1" applyAlignment="1">
      <alignment horizontal="right"/>
    </xf>
    <xf numFmtId="44" fontId="19" fillId="0" borderId="1" xfId="2" applyFont="1" applyBorder="1" applyAlignment="1">
      <alignment horizontal="right"/>
    </xf>
    <xf numFmtId="44" fontId="14" fillId="0" borderId="1" xfId="2" applyFont="1" applyBorder="1"/>
    <xf numFmtId="0" fontId="20" fillId="0" borderId="1" xfId="0" applyFont="1" applyBorder="1" applyAlignment="1">
      <alignment horizontal="center"/>
    </xf>
    <xf numFmtId="0" fontId="6" fillId="3" borderId="5" xfId="0" applyFont="1" applyFill="1" applyBorder="1"/>
    <xf numFmtId="2" fontId="21" fillId="0" borderId="1" xfId="1" applyNumberFormat="1" applyFont="1" applyBorder="1" applyAlignment="1">
      <alignment horizontal="center"/>
    </xf>
    <xf numFmtId="2" fontId="22" fillId="3" borderId="6" xfId="1" applyNumberFormat="1" applyFont="1" applyFill="1" applyBorder="1" applyAlignment="1">
      <alignment horizontal="left"/>
    </xf>
    <xf numFmtId="2" fontId="6" fillId="3" borderId="1" xfId="1" applyNumberFormat="1" applyFont="1" applyFill="1" applyBorder="1" applyAlignment="1">
      <alignment horizontal="left"/>
    </xf>
    <xf numFmtId="2" fontId="7" fillId="3" borderId="1" xfId="1" applyNumberFormat="1" applyFont="1" applyFill="1" applyBorder="1" applyAlignment="1">
      <alignment horizontal="left"/>
    </xf>
    <xf numFmtId="0" fontId="23" fillId="3" borderId="1" xfId="0" applyFont="1" applyFill="1" applyBorder="1"/>
    <xf numFmtId="2" fontId="6" fillId="3" borderId="6" xfId="1" applyNumberFormat="1" applyFont="1" applyFill="1" applyBorder="1" applyAlignment="1">
      <alignment horizontal="left"/>
    </xf>
    <xf numFmtId="0" fontId="5" fillId="0" borderId="1" xfId="0" applyFont="1" applyBorder="1"/>
    <xf numFmtId="44" fontId="25" fillId="0" borderId="1" xfId="2" applyFont="1" applyBorder="1"/>
    <xf numFmtId="2" fontId="14" fillId="3" borderId="1" xfId="1" applyNumberFormat="1" applyFont="1" applyFill="1" applyBorder="1"/>
    <xf numFmtId="0" fontId="7" fillId="0" borderId="3" xfId="0" applyFont="1" applyBorder="1" applyAlignment="1">
      <alignment horizontal="center"/>
    </xf>
    <xf numFmtId="165" fontId="14" fillId="3" borderId="1" xfId="1" applyNumberFormat="1" applyFont="1" applyFill="1" applyBorder="1" applyAlignment="1">
      <alignment wrapText="1"/>
    </xf>
    <xf numFmtId="0" fontId="26" fillId="3" borderId="0" xfId="0" applyFont="1" applyFill="1"/>
    <xf numFmtId="1" fontId="7" fillId="0" borderId="1" xfId="0" applyNumberFormat="1" applyFont="1" applyBorder="1" applyAlignment="1">
      <alignment horizontal="center"/>
    </xf>
    <xf numFmtId="165" fontId="14" fillId="3" borderId="1" xfId="1" applyNumberFormat="1" applyFont="1" applyFill="1" applyBorder="1"/>
    <xf numFmtId="0" fontId="6" fillId="0" borderId="1" xfId="0" applyFont="1" applyBorder="1"/>
    <xf numFmtId="2" fontId="6" fillId="3" borderId="1" xfId="0" applyNumberFormat="1" applyFont="1" applyFill="1" applyBorder="1" applyAlignment="1">
      <alignment horizontal="left"/>
    </xf>
    <xf numFmtId="165" fontId="14" fillId="3" borderId="1" xfId="1" applyNumberFormat="1" applyFont="1" applyFill="1" applyBorder="1" applyAlignment="1"/>
    <xf numFmtId="0" fontId="7" fillId="3" borderId="1" xfId="0" applyFont="1" applyFill="1" applyBorder="1"/>
    <xf numFmtId="44" fontId="25" fillId="0" borderId="1" xfId="2" applyFont="1" applyBorder="1" applyAlignment="1">
      <alignment horizontal="right"/>
    </xf>
    <xf numFmtId="44" fontId="29" fillId="0" borderId="1" xfId="2" applyFont="1" applyBorder="1" applyAlignment="1">
      <alignment horizontal="right"/>
    </xf>
    <xf numFmtId="0" fontId="7" fillId="0" borderId="1" xfId="0" applyFont="1" applyBorder="1"/>
    <xf numFmtId="0" fontId="14" fillId="0" borderId="1" xfId="0" applyFont="1" applyBorder="1" applyAlignment="1">
      <alignment horizontal="center"/>
    </xf>
    <xf numFmtId="44" fontId="13" fillId="0" borderId="2" xfId="2" applyFont="1" applyBorder="1" applyAlignment="1">
      <alignment horizontal="right"/>
    </xf>
    <xf numFmtId="0" fontId="5" fillId="0" borderId="8" xfId="0" applyFont="1" applyBorder="1"/>
    <xf numFmtId="0" fontId="5" fillId="0" borderId="9" xfId="0" applyFont="1" applyBorder="1"/>
    <xf numFmtId="0" fontId="14" fillId="0" borderId="3" xfId="0" applyFont="1" applyBorder="1" applyAlignment="1">
      <alignment wrapText="1"/>
    </xf>
    <xf numFmtId="165" fontId="17" fillId="0" borderId="2" xfId="1" applyNumberFormat="1" applyFont="1" applyBorder="1"/>
    <xf numFmtId="0" fontId="14" fillId="0" borderId="2" xfId="0" applyFont="1" applyBorder="1" applyAlignment="1">
      <alignment wrapText="1"/>
    </xf>
    <xf numFmtId="0" fontId="5" fillId="0" borderId="10" xfId="0" applyFont="1" applyBorder="1"/>
    <xf numFmtId="0" fontId="7" fillId="0" borderId="11" xfId="0" applyFont="1" applyBorder="1"/>
    <xf numFmtId="44" fontId="12" fillId="0" borderId="10" xfId="2" applyFont="1" applyBorder="1" applyAlignment="1">
      <alignment horizontal="right"/>
    </xf>
    <xf numFmtId="0" fontId="5" fillId="0" borderId="0" xfId="0" applyFont="1"/>
    <xf numFmtId="0" fontId="7" fillId="0" borderId="0" xfId="0" applyFont="1"/>
    <xf numFmtId="49" fontId="0" fillId="0" borderId="0" xfId="0" applyNumberFormat="1"/>
    <xf numFmtId="164" fontId="6" fillId="0" borderId="0" xfId="0" applyNumberFormat="1" applyFont="1"/>
    <xf numFmtId="164" fontId="0" fillId="0" borderId="0" xfId="0" applyNumberFormat="1"/>
    <xf numFmtId="164" fontId="31" fillId="0" borderId="0" xfId="0" applyNumberFormat="1" applyFont="1"/>
    <xf numFmtId="44" fontId="30" fillId="0" borderId="14" xfId="2" applyFont="1" applyBorder="1" applyAlignment="1">
      <alignment horizontal="center"/>
    </xf>
    <xf numFmtId="164" fontId="7" fillId="0" borderId="0" xfId="0" applyNumberFormat="1" applyFont="1"/>
    <xf numFmtId="164" fontId="32" fillId="0" borderId="0" xfId="0" applyNumberFormat="1" applyFont="1"/>
    <xf numFmtId="0" fontId="14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/>
    </xf>
    <xf numFmtId="165" fontId="17" fillId="3" borderId="1" xfId="1" applyNumberFormat="1" applyFont="1" applyFill="1" applyBorder="1"/>
    <xf numFmtId="44" fontId="13" fillId="3" borderId="1" xfId="2" applyFont="1" applyFill="1" applyBorder="1" applyAlignment="1">
      <alignment horizontal="right"/>
    </xf>
    <xf numFmtId="0" fontId="6" fillId="3" borderId="1" xfId="0" applyFont="1" applyFill="1" applyBorder="1" applyAlignment="1">
      <alignment horizontal="left" wrapText="1"/>
    </xf>
    <xf numFmtId="2" fontId="15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right"/>
    </xf>
    <xf numFmtId="0" fontId="16" fillId="3" borderId="1" xfId="0" applyFont="1" applyFill="1" applyBorder="1"/>
    <xf numFmtId="2" fontId="6" fillId="3" borderId="1" xfId="0" applyNumberFormat="1" applyFont="1" applyFill="1" applyBorder="1" applyAlignment="1">
      <alignment wrapText="1"/>
    </xf>
    <xf numFmtId="2" fontId="14" fillId="3" borderId="1" xfId="0" applyNumberFormat="1" applyFont="1" applyFill="1" applyBorder="1" applyAlignment="1">
      <alignment wrapText="1"/>
    </xf>
    <xf numFmtId="165" fontId="14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2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2" fontId="14" fillId="3" borderId="1" xfId="1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wrapText="1"/>
    </xf>
    <xf numFmtId="165" fontId="17" fillId="3" borderId="1" xfId="1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left"/>
    </xf>
    <xf numFmtId="2" fontId="13" fillId="3" borderId="1" xfId="2" applyNumberFormat="1" applyFont="1" applyFill="1" applyBorder="1" applyAlignment="1">
      <alignment horizontal="right"/>
    </xf>
    <xf numFmtId="2" fontId="6" fillId="3" borderId="1" xfId="1" applyNumberFormat="1" applyFont="1" applyFill="1" applyBorder="1"/>
    <xf numFmtId="0" fontId="7" fillId="3" borderId="1" xfId="0" applyFont="1" applyFill="1" applyBorder="1" applyAlignment="1">
      <alignment horizontal="left" wrapText="1"/>
    </xf>
    <xf numFmtId="165" fontId="6" fillId="3" borderId="1" xfId="1" applyNumberFormat="1" applyFont="1" applyFill="1" applyBorder="1"/>
    <xf numFmtId="0" fontId="20" fillId="3" borderId="1" xfId="0" applyFont="1" applyFill="1" applyBorder="1"/>
    <xf numFmtId="0" fontId="6" fillId="3" borderId="0" xfId="0" applyFont="1" applyFill="1" applyAlignment="1">
      <alignment horizontal="left"/>
    </xf>
    <xf numFmtId="2" fontId="27" fillId="3" borderId="1" xfId="1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2" fontId="17" fillId="3" borderId="1" xfId="1" applyNumberFormat="1" applyFont="1" applyFill="1" applyBorder="1"/>
    <xf numFmtId="2" fontId="9" fillId="3" borderId="1" xfId="0" applyNumberFormat="1" applyFont="1" applyFill="1" applyBorder="1" applyAlignment="1">
      <alignment horizontal="left" wrapText="1"/>
    </xf>
    <xf numFmtId="2" fontId="10" fillId="3" borderId="1" xfId="0" applyNumberFormat="1" applyFont="1" applyFill="1" applyBorder="1" applyAlignment="1">
      <alignment wrapText="1"/>
    </xf>
    <xf numFmtId="2" fontId="9" fillId="3" borderId="1" xfId="0" applyNumberFormat="1" applyFont="1" applyFill="1" applyBorder="1" applyAlignment="1">
      <alignment horizontal="right"/>
    </xf>
    <xf numFmtId="2" fontId="14" fillId="3" borderId="1" xfId="0" applyNumberFormat="1" applyFont="1" applyFill="1" applyBorder="1"/>
    <xf numFmtId="44" fontId="9" fillId="3" borderId="1" xfId="2" applyFont="1" applyFill="1" applyBorder="1" applyAlignment="1">
      <alignment horizontal="right" wrapText="1"/>
    </xf>
    <xf numFmtId="0" fontId="28" fillId="3" borderId="1" xfId="0" applyFont="1" applyFill="1" applyBorder="1" applyAlignment="1">
      <alignment horizontal="left"/>
    </xf>
    <xf numFmtId="2" fontId="9" fillId="3" borderId="1" xfId="0" applyNumberFormat="1" applyFont="1" applyFill="1" applyBorder="1" applyAlignment="1">
      <alignment horizontal="center" wrapText="1"/>
    </xf>
    <xf numFmtId="2" fontId="6" fillId="3" borderId="1" xfId="1" applyNumberFormat="1" applyFont="1" applyFill="1" applyBorder="1" applyAlignment="1"/>
    <xf numFmtId="165" fontId="6" fillId="3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0" fontId="20" fillId="4" borderId="1" xfId="0" applyFont="1" applyFill="1" applyBorder="1"/>
    <xf numFmtId="2" fontId="6" fillId="4" borderId="1" xfId="0" applyNumberFormat="1" applyFont="1" applyFill="1" applyBorder="1" applyAlignment="1">
      <alignment horizontal="left"/>
    </xf>
    <xf numFmtId="0" fontId="0" fillId="0" borderId="1" xfId="0" applyBorder="1"/>
    <xf numFmtId="44" fontId="0" fillId="0" borderId="0" xfId="0" applyNumberFormat="1"/>
    <xf numFmtId="0" fontId="0" fillId="0" borderId="10" xfId="0" applyBorder="1"/>
    <xf numFmtId="0" fontId="5" fillId="0" borderId="25" xfId="0" applyFont="1" applyBorder="1"/>
    <xf numFmtId="0" fontId="3" fillId="0" borderId="0" xfId="0" applyFont="1"/>
    <xf numFmtId="0" fontId="12" fillId="0" borderId="0" xfId="0" applyFont="1"/>
    <xf numFmtId="0" fontId="33" fillId="0" borderId="0" xfId="0" applyFont="1"/>
    <xf numFmtId="2" fontId="7" fillId="11" borderId="1" xfId="1" applyNumberFormat="1" applyFont="1" applyFill="1" applyBorder="1" applyAlignment="1">
      <alignment wrapText="1"/>
    </xf>
    <xf numFmtId="44" fontId="10" fillId="10" borderId="1" xfId="2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30" fillId="3" borderId="1" xfId="1" applyNumberFormat="1" applyFont="1" applyFill="1" applyBorder="1"/>
    <xf numFmtId="165" fontId="38" fillId="3" borderId="1" xfId="1" applyNumberFormat="1" applyFont="1" applyFill="1" applyBorder="1"/>
    <xf numFmtId="2" fontId="7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left"/>
    </xf>
    <xf numFmtId="2" fontId="7" fillId="3" borderId="1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2" fontId="7" fillId="0" borderId="1" xfId="1" applyNumberFormat="1" applyFont="1" applyBorder="1"/>
    <xf numFmtId="2" fontId="7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2" fontId="7" fillId="4" borderId="1" xfId="1" applyNumberFormat="1" applyFont="1" applyFill="1" applyBorder="1"/>
    <xf numFmtId="2" fontId="7" fillId="4" borderId="1" xfId="0" applyNumberFormat="1" applyFont="1" applyFill="1" applyBorder="1" applyAlignment="1">
      <alignment wrapText="1"/>
    </xf>
    <xf numFmtId="2" fontId="8" fillId="4" borderId="1" xfId="0" applyNumberFormat="1" applyFont="1" applyFill="1" applyBorder="1" applyAlignment="1">
      <alignment horizontal="center" wrapText="1"/>
    </xf>
    <xf numFmtId="165" fontId="7" fillId="9" borderId="1" xfId="1" applyNumberFormat="1" applyFont="1" applyFill="1" applyBorder="1"/>
    <xf numFmtId="2" fontId="7" fillId="9" borderId="1" xfId="0" applyNumberFormat="1" applyFont="1" applyFill="1" applyBorder="1" applyAlignment="1">
      <alignment wrapText="1"/>
    </xf>
    <xf numFmtId="2" fontId="8" fillId="9" borderId="1" xfId="0" applyNumberFormat="1" applyFont="1" applyFill="1" applyBorder="1" applyAlignment="1">
      <alignment horizontal="center" wrapText="1"/>
    </xf>
    <xf numFmtId="0" fontId="39" fillId="3" borderId="7" xfId="0" applyFont="1" applyFill="1" applyBorder="1"/>
    <xf numFmtId="2" fontId="30" fillId="3" borderId="1" xfId="1" applyNumberFormat="1" applyFont="1" applyFill="1" applyBorder="1" applyAlignment="1">
      <alignment horizontal="left"/>
    </xf>
    <xf numFmtId="2" fontId="7" fillId="3" borderId="1" xfId="1" applyNumberFormat="1" applyFont="1" applyFill="1" applyBorder="1"/>
    <xf numFmtId="2" fontId="8" fillId="3" borderId="1" xfId="0" applyNumberFormat="1" applyFont="1" applyFill="1" applyBorder="1" applyAlignment="1">
      <alignment wrapText="1"/>
    </xf>
    <xf numFmtId="2" fontId="8" fillId="3" borderId="1" xfId="0" applyNumberFormat="1" applyFont="1" applyFill="1" applyBorder="1" applyAlignment="1">
      <alignment horizontal="center" wrapText="1"/>
    </xf>
    <xf numFmtId="2" fontId="7" fillId="7" borderId="1" xfId="1" applyNumberFormat="1" applyFont="1" applyFill="1" applyBorder="1"/>
    <xf numFmtId="2" fontId="7" fillId="7" borderId="1" xfId="0" applyNumberFormat="1" applyFont="1" applyFill="1" applyBorder="1" applyAlignment="1">
      <alignment wrapText="1"/>
    </xf>
    <xf numFmtId="2" fontId="8" fillId="7" borderId="1" xfId="0" applyNumberFormat="1" applyFont="1" applyFill="1" applyBorder="1" applyAlignment="1">
      <alignment horizontal="center" wrapText="1"/>
    </xf>
    <xf numFmtId="165" fontId="7" fillId="4" borderId="1" xfId="1" applyNumberFormat="1" applyFont="1" applyFill="1" applyBorder="1"/>
    <xf numFmtId="0" fontId="39" fillId="3" borderId="1" xfId="0" applyFont="1" applyFill="1" applyBorder="1"/>
    <xf numFmtId="2" fontId="7" fillId="4" borderId="1" xfId="1" applyNumberFormat="1" applyFont="1" applyFill="1" applyBorder="1" applyAlignment="1">
      <alignment wrapText="1"/>
    </xf>
    <xf numFmtId="2" fontId="7" fillId="9" borderId="1" xfId="1" applyNumberFormat="1" applyFont="1" applyFill="1" applyBorder="1" applyAlignment="1">
      <alignment wrapText="1"/>
    </xf>
    <xf numFmtId="2" fontId="7" fillId="9" borderId="1" xfId="1" applyNumberFormat="1" applyFont="1" applyFill="1" applyBorder="1"/>
    <xf numFmtId="2" fontId="7" fillId="9" borderId="1" xfId="0" applyNumberFormat="1" applyFont="1" applyFill="1" applyBorder="1" applyAlignment="1">
      <alignment horizontal="left" wrapText="1"/>
    </xf>
    <xf numFmtId="2" fontId="7" fillId="4" borderId="1" xfId="0" applyNumberFormat="1" applyFont="1" applyFill="1" applyBorder="1" applyAlignment="1">
      <alignment horizontal="left" wrapText="1"/>
    </xf>
    <xf numFmtId="0" fontId="39" fillId="0" borderId="0" xfId="0" applyFont="1"/>
    <xf numFmtId="2" fontId="30" fillId="3" borderId="5" xfId="1" applyNumberFormat="1" applyFont="1" applyFill="1" applyBorder="1" applyAlignment="1"/>
    <xf numFmtId="2" fontId="30" fillId="3" borderId="6" xfId="1" applyNumberFormat="1" applyFont="1" applyFill="1" applyBorder="1" applyAlignment="1">
      <alignment horizontal="center"/>
    </xf>
    <xf numFmtId="0" fontId="7" fillId="9" borderId="1" xfId="0" applyFont="1" applyFill="1" applyBorder="1"/>
    <xf numFmtId="2" fontId="7" fillId="9" borderId="1" xfId="0" applyNumberFormat="1" applyFont="1" applyFill="1" applyBorder="1"/>
    <xf numFmtId="0" fontId="7" fillId="4" borderId="1" xfId="0" applyFont="1" applyFill="1" applyBorder="1"/>
    <xf numFmtId="2" fontId="7" fillId="4" borderId="1" xfId="0" applyNumberFormat="1" applyFont="1" applyFill="1" applyBorder="1"/>
    <xf numFmtId="2" fontId="7" fillId="7" borderId="1" xfId="0" applyNumberFormat="1" applyFont="1" applyFill="1" applyBorder="1"/>
    <xf numFmtId="2" fontId="7" fillId="3" borderId="1" xfId="0" applyNumberFormat="1" applyFont="1" applyFill="1" applyBorder="1"/>
    <xf numFmtId="0" fontId="7" fillId="3" borderId="7" xfId="0" applyFont="1" applyFill="1" applyBorder="1"/>
    <xf numFmtId="0" fontId="7" fillId="9" borderId="6" xfId="0" applyFont="1" applyFill="1" applyBorder="1"/>
    <xf numFmtId="0" fontId="7" fillId="10" borderId="1" xfId="0" applyFont="1" applyFill="1" applyBorder="1"/>
    <xf numFmtId="2" fontId="7" fillId="10" borderId="1" xfId="0" applyNumberFormat="1" applyFont="1" applyFill="1" applyBorder="1" applyAlignment="1">
      <alignment wrapText="1"/>
    </xf>
    <xf numFmtId="2" fontId="8" fillId="10" borderId="1" xfId="0" applyNumberFormat="1" applyFont="1" applyFill="1" applyBorder="1" applyAlignment="1">
      <alignment horizontal="center" wrapText="1"/>
    </xf>
    <xf numFmtId="2" fontId="7" fillId="12" borderId="1" xfId="1" applyNumberFormat="1" applyFont="1" applyFill="1" applyBorder="1"/>
    <xf numFmtId="2" fontId="7" fillId="12" borderId="1" xfId="0" applyNumberFormat="1" applyFont="1" applyFill="1" applyBorder="1" applyAlignment="1">
      <alignment wrapText="1"/>
    </xf>
    <xf numFmtId="2" fontId="8" fillId="12" borderId="1" xfId="0" applyNumberFormat="1" applyFont="1" applyFill="1" applyBorder="1" applyAlignment="1">
      <alignment horizontal="center" wrapText="1"/>
    </xf>
    <xf numFmtId="2" fontId="7" fillId="12" borderId="1" xfId="1" applyNumberFormat="1" applyFont="1" applyFill="1" applyBorder="1" applyAlignment="1">
      <alignment wrapText="1"/>
    </xf>
    <xf numFmtId="0" fontId="39" fillId="0" borderId="1" xfId="0" applyFont="1" applyBorder="1"/>
    <xf numFmtId="2" fontId="7" fillId="4" borderId="1" xfId="1" applyNumberFormat="1" applyFont="1" applyFill="1" applyBorder="1" applyAlignment="1">
      <alignment vertical="center" wrapText="1"/>
    </xf>
    <xf numFmtId="165" fontId="7" fillId="12" borderId="1" xfId="1" applyNumberFormat="1" applyFont="1" applyFill="1" applyBorder="1"/>
    <xf numFmtId="0" fontId="7" fillId="3" borderId="2" xfId="0" applyFont="1" applyFill="1" applyBorder="1"/>
    <xf numFmtId="165" fontId="40" fillId="4" borderId="1" xfId="1" applyNumberFormat="1" applyFont="1" applyFill="1" applyBorder="1"/>
    <xf numFmtId="0" fontId="8" fillId="4" borderId="1" xfId="0" applyFont="1" applyFill="1" applyBorder="1" applyAlignment="1">
      <alignment horizontal="center" wrapText="1"/>
    </xf>
    <xf numFmtId="2" fontId="7" fillId="9" borderId="1" xfId="1" applyNumberFormat="1" applyFont="1" applyFill="1" applyBorder="1" applyAlignment="1">
      <alignment vertical="center" wrapText="1"/>
    </xf>
    <xf numFmtId="2" fontId="30" fillId="5" borderId="1" xfId="0" applyNumberFormat="1" applyFont="1" applyFill="1" applyBorder="1" applyAlignment="1">
      <alignment horizontal="center" wrapText="1"/>
    </xf>
    <xf numFmtId="2" fontId="8" fillId="12" borderId="1" xfId="0" applyNumberFormat="1" applyFont="1" applyFill="1" applyBorder="1" applyAlignment="1">
      <alignment wrapText="1"/>
    </xf>
    <xf numFmtId="2" fontId="8" fillId="9" borderId="1" xfId="0" applyNumberFormat="1" applyFont="1" applyFill="1" applyBorder="1" applyAlignment="1">
      <alignment wrapText="1"/>
    </xf>
    <xf numFmtId="2" fontId="8" fillId="4" borderId="1" xfId="0" applyNumberFormat="1" applyFont="1" applyFill="1" applyBorder="1" applyAlignment="1">
      <alignment wrapText="1"/>
    </xf>
    <xf numFmtId="2" fontId="7" fillId="13" borderId="1" xfId="1" applyNumberFormat="1" applyFont="1" applyFill="1" applyBorder="1"/>
    <xf numFmtId="2" fontId="7" fillId="13" borderId="1" xfId="0" applyNumberFormat="1" applyFont="1" applyFill="1" applyBorder="1"/>
    <xf numFmtId="2" fontId="8" fillId="13" borderId="1" xfId="0" applyNumberFormat="1" applyFont="1" applyFill="1" applyBorder="1" applyAlignment="1">
      <alignment horizontal="center" wrapText="1"/>
    </xf>
    <xf numFmtId="2" fontId="30" fillId="5" borderId="1" xfId="1" applyNumberFormat="1" applyFont="1" applyFill="1" applyBorder="1"/>
    <xf numFmtId="2" fontId="30" fillId="5" borderId="1" xfId="0" applyNumberFormat="1" applyFont="1" applyFill="1" applyBorder="1" applyAlignment="1">
      <alignment horizontal="right" wrapText="1"/>
    </xf>
    <xf numFmtId="2" fontId="7" fillId="12" borderId="1" xfId="0" applyNumberFormat="1" applyFont="1" applyFill="1" applyBorder="1" applyAlignment="1">
      <alignment horizontal="left" wrapText="1"/>
    </xf>
    <xf numFmtId="2" fontId="30" fillId="3" borderId="1" xfId="1" applyNumberFormat="1" applyFont="1" applyFill="1" applyBorder="1"/>
    <xf numFmtId="2" fontId="30" fillId="3" borderId="1" xfId="0" applyNumberFormat="1" applyFont="1" applyFill="1" applyBorder="1" applyAlignment="1">
      <alignment horizontal="right" wrapText="1"/>
    </xf>
    <xf numFmtId="2" fontId="30" fillId="3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left" wrapText="1"/>
    </xf>
    <xf numFmtId="2" fontId="7" fillId="12" borderId="1" xfId="1" applyNumberFormat="1" applyFont="1" applyFill="1" applyBorder="1" applyAlignment="1">
      <alignment horizontal="left" wrapText="1"/>
    </xf>
    <xf numFmtId="2" fontId="7" fillId="12" borderId="1" xfId="0" applyNumberFormat="1" applyFont="1" applyFill="1" applyBorder="1"/>
    <xf numFmtId="0" fontId="7" fillId="9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12" borderId="1" xfId="0" applyFont="1" applyFill="1" applyBorder="1" applyAlignment="1">
      <alignment horizontal="left" wrapText="1"/>
    </xf>
    <xf numFmtId="2" fontId="7" fillId="10" borderId="1" xfId="1" applyNumberFormat="1" applyFont="1" applyFill="1" applyBorder="1"/>
    <xf numFmtId="2" fontId="7" fillId="10" borderId="1" xfId="0" applyNumberFormat="1" applyFont="1" applyFill="1" applyBorder="1"/>
    <xf numFmtId="2" fontId="7" fillId="10" borderId="1" xfId="1" applyNumberFormat="1" applyFont="1" applyFill="1" applyBorder="1" applyAlignment="1">
      <alignment wrapText="1"/>
    </xf>
    <xf numFmtId="0" fontId="7" fillId="10" borderId="1" xfId="0" applyFont="1" applyFill="1" applyBorder="1" applyAlignment="1">
      <alignment horizontal="left" wrapText="1"/>
    </xf>
    <xf numFmtId="0" fontId="8" fillId="10" borderId="1" xfId="0" applyFont="1" applyFill="1" applyBorder="1" applyAlignment="1">
      <alignment horizontal="center" wrapText="1"/>
    </xf>
    <xf numFmtId="165" fontId="7" fillId="3" borderId="1" xfId="1" applyNumberFormat="1" applyFont="1" applyFill="1" applyBorder="1"/>
    <xf numFmtId="0" fontId="7" fillId="3" borderId="3" xfId="0" applyFont="1" applyFill="1" applyBorder="1"/>
    <xf numFmtId="2" fontId="7" fillId="5" borderId="1" xfId="0" applyNumberFormat="1" applyFont="1" applyFill="1" applyBorder="1" applyAlignment="1">
      <alignment wrapText="1"/>
    </xf>
    <xf numFmtId="2" fontId="8" fillId="5" borderId="1" xfId="0" applyNumberFormat="1" applyFont="1" applyFill="1" applyBorder="1" applyAlignment="1">
      <alignment horizontal="center" wrapText="1"/>
    </xf>
    <xf numFmtId="2" fontId="7" fillId="12" borderId="7" xfId="0" applyNumberFormat="1" applyFont="1" applyFill="1" applyBorder="1" applyAlignment="1">
      <alignment horizontal="left" wrapText="1"/>
    </xf>
    <xf numFmtId="2" fontId="7" fillId="3" borderId="7" xfId="0" applyNumberFormat="1" applyFont="1" applyFill="1" applyBorder="1" applyAlignment="1">
      <alignment horizontal="left" wrapText="1"/>
    </xf>
    <xf numFmtId="2" fontId="30" fillId="3" borderId="1" xfId="0" applyNumberFormat="1" applyFont="1" applyFill="1" applyBorder="1" applyAlignment="1">
      <alignment horizontal="left" wrapText="1"/>
    </xf>
    <xf numFmtId="2" fontId="7" fillId="11" borderId="1" xfId="1" applyNumberFormat="1" applyFont="1" applyFill="1" applyBorder="1"/>
    <xf numFmtId="2" fontId="8" fillId="11" borderId="1" xfId="0" applyNumberFormat="1" applyFont="1" applyFill="1" applyBorder="1" applyAlignment="1">
      <alignment horizontal="center" wrapText="1"/>
    </xf>
    <xf numFmtId="2" fontId="8" fillId="3" borderId="4" xfId="0" applyNumberFormat="1" applyFont="1" applyFill="1" applyBorder="1" applyAlignment="1">
      <alignment horizontal="center" wrapText="1"/>
    </xf>
    <xf numFmtId="2" fontId="7" fillId="16" borderId="1" xfId="1" applyNumberFormat="1" applyFont="1" applyFill="1" applyBorder="1" applyAlignment="1">
      <alignment wrapText="1"/>
    </xf>
    <xf numFmtId="2" fontId="30" fillId="3" borderId="1" xfId="1" applyNumberFormat="1" applyFont="1" applyFill="1" applyBorder="1" applyAlignment="1">
      <alignment wrapText="1"/>
    </xf>
    <xf numFmtId="165" fontId="7" fillId="13" borderId="1" xfId="1" applyNumberFormat="1" applyFont="1" applyFill="1" applyBorder="1" applyAlignment="1">
      <alignment wrapText="1"/>
    </xf>
    <xf numFmtId="2" fontId="7" fillId="13" borderId="1" xfId="0" applyNumberFormat="1" applyFont="1" applyFill="1" applyBorder="1" applyAlignment="1">
      <alignment wrapText="1"/>
    </xf>
    <xf numFmtId="165" fontId="7" fillId="4" borderId="1" xfId="1" applyNumberFormat="1" applyFont="1" applyFill="1" applyBorder="1" applyAlignment="1">
      <alignment wrapText="1"/>
    </xf>
    <xf numFmtId="2" fontId="7" fillId="15" borderId="1" xfId="1" applyNumberFormat="1" applyFont="1" applyFill="1" applyBorder="1" applyAlignment="1">
      <alignment wrapText="1"/>
    </xf>
    <xf numFmtId="2" fontId="7" fillId="11" borderId="1" xfId="0" applyNumberFormat="1" applyFont="1" applyFill="1" applyBorder="1" applyAlignment="1">
      <alignment wrapText="1"/>
    </xf>
    <xf numFmtId="2" fontId="7" fillId="13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12" borderId="5" xfId="0" applyFont="1" applyFill="1" applyBorder="1" applyAlignment="1">
      <alignment wrapText="1"/>
    </xf>
    <xf numFmtId="2" fontId="7" fillId="3" borderId="4" xfId="1" applyNumberFormat="1" applyFont="1" applyFill="1" applyBorder="1" applyAlignment="1">
      <alignment wrapText="1"/>
    </xf>
    <xf numFmtId="2" fontId="7" fillId="3" borderId="4" xfId="0" applyNumberFormat="1" applyFont="1" applyFill="1" applyBorder="1" applyAlignment="1">
      <alignment wrapText="1"/>
    </xf>
    <xf numFmtId="2" fontId="10" fillId="0" borderId="1" xfId="0" applyNumberFormat="1" applyFont="1" applyBorder="1" applyAlignment="1">
      <alignment horizontal="center" vertical="center"/>
    </xf>
    <xf numFmtId="2" fontId="10" fillId="14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2" fontId="10" fillId="4" borderId="1" xfId="0" applyNumberFormat="1" applyFont="1" applyFill="1" applyBorder="1" applyAlignment="1">
      <alignment horizontal="center" vertical="center"/>
    </xf>
    <xf numFmtId="44" fontId="10" fillId="4" borderId="1" xfId="2" applyFont="1" applyFill="1" applyBorder="1" applyAlignment="1">
      <alignment horizontal="center" vertical="center"/>
    </xf>
    <xf numFmtId="2" fontId="10" fillId="9" borderId="1" xfId="0" applyNumberFormat="1" applyFont="1" applyFill="1" applyBorder="1" applyAlignment="1">
      <alignment horizontal="center" vertical="center"/>
    </xf>
    <xf numFmtId="44" fontId="10" fillId="9" borderId="1" xfId="2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44" fontId="10" fillId="3" borderId="1" xfId="2" applyFont="1" applyFill="1" applyBorder="1" applyAlignment="1">
      <alignment horizontal="center" vertical="center"/>
    </xf>
    <xf numFmtId="2" fontId="12" fillId="0" borderId="1" xfId="2" applyNumberFormat="1" applyFont="1" applyBorder="1" applyAlignment="1">
      <alignment horizontal="right"/>
    </xf>
    <xf numFmtId="2" fontId="10" fillId="7" borderId="1" xfId="0" applyNumberFormat="1" applyFont="1" applyFill="1" applyBorder="1" applyAlignment="1">
      <alignment horizontal="center" vertical="center"/>
    </xf>
    <xf numFmtId="44" fontId="10" fillId="7" borderId="1" xfId="2" applyFont="1" applyFill="1" applyBorder="1" applyAlignment="1">
      <alignment horizontal="center" vertical="center"/>
    </xf>
    <xf numFmtId="2" fontId="10" fillId="3" borderId="1" xfId="2" applyNumberFormat="1" applyFont="1" applyFill="1" applyBorder="1" applyAlignment="1">
      <alignment horizontal="right"/>
    </xf>
    <xf numFmtId="2" fontId="10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right"/>
    </xf>
    <xf numFmtId="2" fontId="6" fillId="0" borderId="1" xfId="2" applyNumberFormat="1" applyFont="1" applyBorder="1" applyAlignment="1">
      <alignment horizontal="right"/>
    </xf>
    <xf numFmtId="2" fontId="6" fillId="3" borderId="1" xfId="2" applyNumberFormat="1" applyFont="1" applyFill="1" applyBorder="1" applyAlignment="1">
      <alignment horizontal="right"/>
    </xf>
    <xf numFmtId="44" fontId="22" fillId="3" borderId="1" xfId="2" applyFont="1" applyFill="1" applyBorder="1" applyAlignment="1">
      <alignment horizontal="right"/>
    </xf>
    <xf numFmtId="2" fontId="10" fillId="10" borderId="1" xfId="0" applyNumberFormat="1" applyFont="1" applyFill="1" applyBorder="1" applyAlignment="1">
      <alignment horizontal="center" vertical="center"/>
    </xf>
    <xf numFmtId="44" fontId="10" fillId="10" borderId="1" xfId="2" applyFont="1" applyFill="1" applyBorder="1" applyAlignment="1">
      <alignment horizontal="center" vertical="center"/>
    </xf>
    <xf numFmtId="2" fontId="10" fillId="12" borderId="1" xfId="0" applyNumberFormat="1" applyFont="1" applyFill="1" applyBorder="1" applyAlignment="1">
      <alignment horizontal="center" vertical="center"/>
    </xf>
    <xf numFmtId="44" fontId="10" fillId="12" borderId="1" xfId="2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/>
    </xf>
    <xf numFmtId="44" fontId="10" fillId="4" borderId="1" xfId="2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 vertical="center" wrapText="1"/>
    </xf>
    <xf numFmtId="44" fontId="12" fillId="5" borderId="1" xfId="2" applyFont="1" applyFill="1" applyBorder="1" applyAlignment="1">
      <alignment horizontal="right"/>
    </xf>
    <xf numFmtId="44" fontId="10" fillId="4" borderId="1" xfId="2" applyFont="1" applyFill="1" applyBorder="1" applyAlignment="1">
      <alignment horizontal="right"/>
    </xf>
    <xf numFmtId="44" fontId="12" fillId="3" borderId="1" xfId="2" applyFont="1" applyFill="1" applyBorder="1" applyAlignment="1">
      <alignment horizontal="right"/>
    </xf>
    <xf numFmtId="44" fontId="10" fillId="12" borderId="1" xfId="2" applyFont="1" applyFill="1" applyBorder="1" applyAlignment="1">
      <alignment horizontal="right"/>
    </xf>
    <xf numFmtId="44" fontId="10" fillId="9" borderId="1" xfId="2" applyFont="1" applyFill="1" applyBorder="1" applyAlignment="1">
      <alignment horizontal="right"/>
    </xf>
    <xf numFmtId="2" fontId="10" fillId="13" borderId="1" xfId="0" applyNumberFormat="1" applyFont="1" applyFill="1" applyBorder="1" applyAlignment="1">
      <alignment horizontal="center" vertical="center"/>
    </xf>
    <xf numFmtId="44" fontId="10" fillId="13" borderId="1" xfId="2" applyFont="1" applyFill="1" applyBorder="1" applyAlignment="1">
      <alignment horizontal="right"/>
    </xf>
    <xf numFmtId="2" fontId="12" fillId="5" borderId="1" xfId="2" applyNumberFormat="1" applyFont="1" applyFill="1" applyBorder="1" applyAlignment="1">
      <alignment horizontal="right"/>
    </xf>
    <xf numFmtId="2" fontId="22" fillId="3" borderId="1" xfId="0" applyNumberFormat="1" applyFont="1" applyFill="1" applyBorder="1" applyAlignment="1">
      <alignment horizontal="center" vertical="center" wrapText="1"/>
    </xf>
    <xf numFmtId="2" fontId="12" fillId="14" borderId="1" xfId="2" applyNumberFormat="1" applyFont="1" applyFill="1" applyBorder="1" applyAlignment="1">
      <alignment horizontal="right"/>
    </xf>
    <xf numFmtId="44" fontId="6" fillId="0" borderId="1" xfId="2" applyFont="1" applyBorder="1" applyAlignment="1">
      <alignment horizontal="right"/>
    </xf>
    <xf numFmtId="49" fontId="10" fillId="10" borderId="1" xfId="0" applyNumberFormat="1" applyFont="1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2" fontId="12" fillId="3" borderId="1" xfId="2" applyNumberFormat="1" applyFont="1" applyFill="1" applyBorder="1" applyAlignment="1">
      <alignment horizontal="right"/>
    </xf>
    <xf numFmtId="49" fontId="10" fillId="12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9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right"/>
    </xf>
    <xf numFmtId="0" fontId="6" fillId="0" borderId="5" xfId="0" applyFont="1" applyBorder="1"/>
    <xf numFmtId="2" fontId="6" fillId="3" borderId="1" xfId="1" applyNumberFormat="1" applyFont="1" applyFill="1" applyBorder="1" applyAlignment="1">
      <alignment horizontal="right"/>
    </xf>
    <xf numFmtId="49" fontId="10" fillId="13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/>
    <xf numFmtId="2" fontId="10" fillId="0" borderId="1" xfId="0" applyNumberFormat="1" applyFont="1" applyBorder="1" applyAlignment="1">
      <alignment wrapText="1"/>
    </xf>
    <xf numFmtId="2" fontId="6" fillId="0" borderId="1" xfId="1" applyNumberFormat="1" applyFont="1" applyBorder="1" applyAlignment="1">
      <alignment horizontal="right"/>
    </xf>
    <xf numFmtId="49" fontId="10" fillId="11" borderId="1" xfId="0" applyNumberFormat="1" applyFont="1" applyFill="1" applyBorder="1" applyAlignment="1">
      <alignment horizontal="center" vertical="center"/>
    </xf>
    <xf numFmtId="44" fontId="10" fillId="11" borderId="1" xfId="2" applyFont="1" applyFill="1" applyBorder="1" applyAlignment="1">
      <alignment horizontal="right"/>
    </xf>
    <xf numFmtId="2" fontId="10" fillId="3" borderId="4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22" fillId="15" borderId="21" xfId="0" applyNumberFormat="1" applyFont="1" applyFill="1" applyBorder="1" applyAlignment="1">
      <alignment horizontal="right" wrapText="1"/>
    </xf>
    <xf numFmtId="2" fontId="6" fillId="15" borderId="8" xfId="0" applyNumberFormat="1" applyFont="1" applyFill="1" applyBorder="1" applyAlignment="1">
      <alignment horizontal="right"/>
    </xf>
    <xf numFmtId="44" fontId="30" fillId="15" borderId="21" xfId="2" applyFont="1" applyFill="1" applyBorder="1" applyAlignment="1">
      <alignment horizontal="right"/>
    </xf>
    <xf numFmtId="44" fontId="30" fillId="15" borderId="8" xfId="2" applyFont="1" applyFill="1" applyBorder="1" applyAlignment="1">
      <alignment horizontal="right"/>
    </xf>
    <xf numFmtId="44" fontId="30" fillId="3" borderId="1" xfId="2" applyFont="1" applyFill="1" applyBorder="1" applyAlignment="1">
      <alignment horizontal="right"/>
    </xf>
    <xf numFmtId="44" fontId="30" fillId="3" borderId="4" xfId="2" applyFont="1" applyFill="1" applyBorder="1" applyAlignment="1">
      <alignment horizontal="right"/>
    </xf>
    <xf numFmtId="44" fontId="2" fillId="3" borderId="1" xfId="2" applyFont="1" applyFill="1" applyBorder="1" applyAlignment="1">
      <alignment horizontal="center" vertical="center"/>
    </xf>
    <xf numFmtId="44" fontId="30" fillId="5" borderId="1" xfId="2" applyFont="1" applyFill="1" applyBorder="1" applyAlignment="1">
      <alignment horizontal="center" vertical="center" wrapText="1"/>
    </xf>
    <xf numFmtId="44" fontId="2" fillId="5" borderId="1" xfId="2" applyFont="1" applyFill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44" fontId="8" fillId="0" borderId="1" xfId="2" applyFont="1" applyBorder="1" applyAlignment="1">
      <alignment horizontal="right"/>
    </xf>
    <xf numFmtId="2" fontId="8" fillId="0" borderId="1" xfId="2" applyNumberFormat="1" applyFont="1" applyBorder="1" applyAlignment="1">
      <alignment horizontal="right"/>
    </xf>
    <xf numFmtId="44" fontId="39" fillId="0" borderId="1" xfId="2" applyFont="1" applyBorder="1"/>
    <xf numFmtId="0" fontId="8" fillId="0" borderId="1" xfId="2" applyNumberFormat="1" applyFont="1" applyBorder="1" applyAlignment="1">
      <alignment horizontal="right"/>
    </xf>
    <xf numFmtId="165" fontId="30" fillId="0" borderId="1" xfId="1" applyNumberFormat="1" applyFont="1" applyBorder="1"/>
    <xf numFmtId="44" fontId="2" fillId="0" borderId="1" xfId="2" applyFont="1" applyBorder="1" applyAlignment="1">
      <alignment horizontal="right"/>
    </xf>
    <xf numFmtId="0" fontId="8" fillId="3" borderId="1" xfId="0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/>
    </xf>
    <xf numFmtId="44" fontId="8" fillId="3" borderId="1" xfId="2" applyFont="1" applyFill="1" applyBorder="1" applyAlignment="1">
      <alignment horizontal="right"/>
    </xf>
    <xf numFmtId="44" fontId="8" fillId="0" borderId="1" xfId="2" applyFont="1" applyFill="1" applyBorder="1" applyAlignment="1">
      <alignment horizontal="right"/>
    </xf>
    <xf numFmtId="0" fontId="8" fillId="3" borderId="1" xfId="0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right"/>
    </xf>
    <xf numFmtId="44" fontId="2" fillId="3" borderId="1" xfId="2" applyFont="1" applyFill="1" applyBorder="1" applyAlignment="1">
      <alignment horizontal="right"/>
    </xf>
    <xf numFmtId="44" fontId="2" fillId="0" borderId="1" xfId="2" applyFont="1" applyFill="1" applyBorder="1" applyAlignment="1">
      <alignment horizontal="right"/>
    </xf>
    <xf numFmtId="44" fontId="7" fillId="0" borderId="1" xfId="2" applyFont="1" applyBorder="1"/>
    <xf numFmtId="165" fontId="7" fillId="7" borderId="1" xfId="1" applyNumberFormat="1" applyFont="1" applyFill="1" applyBorder="1"/>
    <xf numFmtId="44" fontId="7" fillId="0" borderId="1" xfId="2" applyFont="1" applyFill="1" applyBorder="1" applyAlignment="1">
      <alignment horizontal="right"/>
    </xf>
    <xf numFmtId="44" fontId="7" fillId="0" borderId="1" xfId="2" applyFont="1" applyBorder="1" applyAlignment="1">
      <alignment horizontal="right"/>
    </xf>
    <xf numFmtId="44" fontId="41" fillId="0" borderId="1" xfId="2" applyFont="1" applyBorder="1" applyAlignment="1">
      <alignment horizontal="right"/>
    </xf>
    <xf numFmtId="165" fontId="7" fillId="11" borderId="1" xfId="1" applyNumberFormat="1" applyFont="1" applyFill="1" applyBorder="1"/>
    <xf numFmtId="0" fontId="8" fillId="3" borderId="1" xfId="0" applyFont="1" applyFill="1" applyBorder="1" applyAlignment="1">
      <alignment horizontal="center"/>
    </xf>
    <xf numFmtId="165" fontId="7" fillId="8" borderId="1" xfId="1" applyNumberFormat="1" applyFont="1" applyFill="1" applyBorder="1"/>
    <xf numFmtId="44" fontId="43" fillId="0" borderId="1" xfId="2" applyFont="1" applyBorder="1" applyAlignment="1">
      <alignment horizontal="right"/>
    </xf>
    <xf numFmtId="44" fontId="8" fillId="3" borderId="1" xfId="2" applyFont="1" applyFill="1" applyBorder="1" applyAlignment="1">
      <alignment horizontal="right" wrapText="1"/>
    </xf>
    <xf numFmtId="2" fontId="8" fillId="3" borderId="1" xfId="0" applyNumberFormat="1" applyFont="1" applyFill="1" applyBorder="1" applyAlignment="1">
      <alignment horizontal="center" vertical="center"/>
    </xf>
    <xf numFmtId="44" fontId="43" fillId="0" borderId="1" xfId="2" applyFont="1" applyBorder="1"/>
    <xf numFmtId="2" fontId="7" fillId="7" borderId="1" xfId="1" applyNumberFormat="1" applyFont="1" applyFill="1" applyBorder="1" applyAlignment="1">
      <alignment wrapText="1"/>
    </xf>
    <xf numFmtId="165" fontId="7" fillId="6" borderId="1" xfId="1" applyNumberFormat="1" applyFont="1" applyFill="1" applyBorder="1" applyAlignment="1">
      <alignment wrapText="1"/>
    </xf>
    <xf numFmtId="2" fontId="7" fillId="6" borderId="1" xfId="1" applyNumberFormat="1" applyFont="1" applyFill="1" applyBorder="1"/>
    <xf numFmtId="165" fontId="7" fillId="6" borderId="1" xfId="1" applyNumberFormat="1" applyFont="1" applyFill="1" applyBorder="1"/>
    <xf numFmtId="165" fontId="40" fillId="16" borderId="1" xfId="1" applyNumberFormat="1" applyFont="1" applyFill="1" applyBorder="1"/>
    <xf numFmtId="165" fontId="7" fillId="4" borderId="1" xfId="1" applyNumberFormat="1" applyFont="1" applyFill="1" applyBorder="1" applyAlignment="1">
      <alignment horizontal="left"/>
    </xf>
    <xf numFmtId="2" fontId="7" fillId="6" borderId="1" xfId="1" applyNumberFormat="1" applyFont="1" applyFill="1" applyBorder="1" applyAlignment="1">
      <alignment wrapText="1"/>
    </xf>
    <xf numFmtId="2" fontId="2" fillId="3" borderId="1" xfId="2" applyNumberFormat="1" applyFont="1" applyFill="1" applyBorder="1" applyAlignment="1">
      <alignment horizontal="right"/>
    </xf>
    <xf numFmtId="165" fontId="7" fillId="9" borderId="1" xfId="1" applyNumberFormat="1" applyFont="1" applyFill="1" applyBorder="1" applyAlignment="1"/>
    <xf numFmtId="2" fontId="8" fillId="3" borderId="1" xfId="0" applyNumberFormat="1" applyFont="1" applyFill="1" applyBorder="1" applyAlignment="1">
      <alignment horizontal="left" wrapText="1"/>
    </xf>
    <xf numFmtId="2" fontId="8" fillId="3" borderId="1" xfId="0" applyNumberFormat="1" applyFont="1" applyFill="1" applyBorder="1" applyAlignment="1">
      <alignment horizontal="right"/>
    </xf>
    <xf numFmtId="2" fontId="16" fillId="6" borderId="1" xfId="1" applyNumberFormat="1" applyFont="1" applyFill="1" applyBorder="1" applyAlignment="1">
      <alignment wrapText="1"/>
    </xf>
    <xf numFmtId="2" fontId="7" fillId="6" borderId="7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center" vertical="center"/>
    </xf>
    <xf numFmtId="44" fontId="42" fillId="0" borderId="1" xfId="2" applyFont="1" applyBorder="1" applyAlignment="1">
      <alignment horizontal="right"/>
    </xf>
    <xf numFmtId="0" fontId="7" fillId="6" borderId="5" xfId="0" applyFont="1" applyFill="1" applyBorder="1"/>
    <xf numFmtId="2" fontId="7" fillId="4" borderId="1" xfId="1" applyNumberFormat="1" applyFont="1" applyFill="1" applyBorder="1" applyAlignment="1"/>
    <xf numFmtId="165" fontId="30" fillId="0" borderId="1" xfId="1" applyNumberFormat="1" applyFont="1" applyFill="1" applyBorder="1"/>
    <xf numFmtId="0" fontId="8" fillId="0" borderId="1" xfId="0" applyFont="1" applyBorder="1" applyAlignment="1">
      <alignment horizontal="center" wrapText="1"/>
    </xf>
    <xf numFmtId="44" fontId="2" fillId="0" borderId="2" xfId="2" applyFont="1" applyBorder="1" applyAlignment="1">
      <alignment horizontal="right"/>
    </xf>
    <xf numFmtId="44" fontId="2" fillId="0" borderId="24" xfId="2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44" fontId="8" fillId="0" borderId="1" xfId="2" applyFont="1" applyFill="1" applyBorder="1" applyAlignment="1">
      <alignment horizontal="right" wrapText="1"/>
    </xf>
    <xf numFmtId="44" fontId="8" fillId="0" borderId="1" xfId="2" applyFont="1" applyBorder="1" applyAlignment="1">
      <alignment horizontal="right" wrapText="1"/>
    </xf>
    <xf numFmtId="44" fontId="7" fillId="0" borderId="1" xfId="2" applyFont="1" applyBorder="1" applyAlignment="1">
      <alignment wrapText="1"/>
    </xf>
    <xf numFmtId="44" fontId="7" fillId="0" borderId="1" xfId="2" applyFont="1" applyBorder="1" applyAlignment="1">
      <alignment horizontal="right" wrapText="1"/>
    </xf>
    <xf numFmtId="0" fontId="0" fillId="0" borderId="0" xfId="0" applyAlignment="1">
      <alignment wrapText="1"/>
    </xf>
    <xf numFmtId="1" fontId="7" fillId="0" borderId="1" xfId="0" applyNumberFormat="1" applyFont="1" applyBorder="1" applyAlignment="1">
      <alignment horizontal="center" wrapText="1"/>
    </xf>
    <xf numFmtId="44" fontId="7" fillId="0" borderId="1" xfId="2" applyFont="1" applyFill="1" applyBorder="1" applyAlignment="1">
      <alignment horizontal="right" wrapText="1"/>
    </xf>
    <xf numFmtId="44" fontId="41" fillId="0" borderId="1" xfId="2" applyFont="1" applyBorder="1" applyAlignment="1">
      <alignment horizontal="right" wrapText="1"/>
    </xf>
    <xf numFmtId="0" fontId="31" fillId="3" borderId="1" xfId="0" applyFont="1" applyFill="1" applyBorder="1" applyAlignment="1">
      <alignment horizontal="left" wrapText="1"/>
    </xf>
    <xf numFmtId="165" fontId="31" fillId="4" borderId="1" xfId="1" applyNumberFormat="1" applyFont="1" applyFill="1" applyBorder="1"/>
    <xf numFmtId="2" fontId="31" fillId="4" borderId="1" xfId="1" applyNumberFormat="1" applyFont="1" applyFill="1" applyBorder="1"/>
    <xf numFmtId="165" fontId="31" fillId="9" borderId="1" xfId="1" applyNumberFormat="1" applyFont="1" applyFill="1" applyBorder="1"/>
    <xf numFmtId="2" fontId="31" fillId="4" borderId="1" xfId="1" applyNumberFormat="1" applyFont="1" applyFill="1" applyBorder="1" applyAlignment="1">
      <alignment horizontal="left"/>
    </xf>
    <xf numFmtId="2" fontId="31" fillId="13" borderId="1" xfId="1" applyNumberFormat="1" applyFont="1" applyFill="1" applyBorder="1"/>
    <xf numFmtId="2" fontId="31" fillId="3" borderId="1" xfId="0" applyNumberFormat="1" applyFont="1" applyFill="1" applyBorder="1" applyAlignment="1">
      <alignment horizontal="left" wrapText="1"/>
    </xf>
    <xf numFmtId="2" fontId="31" fillId="6" borderId="1" xfId="1" applyNumberFormat="1" applyFont="1" applyFill="1" applyBorder="1"/>
    <xf numFmtId="2" fontId="31" fillId="6" borderId="1" xfId="0" applyNumberFormat="1" applyFont="1" applyFill="1" applyBorder="1" applyAlignment="1">
      <alignment wrapText="1"/>
    </xf>
    <xf numFmtId="2" fontId="31" fillId="10" borderId="1" xfId="0" applyNumberFormat="1" applyFont="1" applyFill="1" applyBorder="1" applyAlignment="1">
      <alignment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/>
    </xf>
    <xf numFmtId="165" fontId="7" fillId="9" borderId="1" xfId="1" applyNumberFormat="1" applyFont="1" applyFill="1" applyBorder="1" applyAlignment="1">
      <alignment wrapText="1"/>
    </xf>
    <xf numFmtId="2" fontId="31" fillId="9" borderId="1" xfId="1" applyNumberFormat="1" applyFont="1" applyFill="1" applyBorder="1" applyAlignment="1">
      <alignment wrapText="1"/>
    </xf>
    <xf numFmtId="165" fontId="7" fillId="12" borderId="1" xfId="1" applyNumberFormat="1" applyFont="1" applyFill="1" applyBorder="1" applyAlignment="1">
      <alignment wrapText="1"/>
    </xf>
    <xf numFmtId="2" fontId="7" fillId="17" borderId="1" xfId="1" applyNumberFormat="1" applyFont="1" applyFill="1" applyBorder="1"/>
    <xf numFmtId="2" fontId="7" fillId="17" borderId="1" xfId="0" applyNumberFormat="1" applyFont="1" applyFill="1" applyBorder="1"/>
    <xf numFmtId="2" fontId="8" fillId="17" borderId="1" xfId="0" applyNumberFormat="1" applyFont="1" applyFill="1" applyBorder="1" applyAlignment="1">
      <alignment horizontal="center" wrapText="1"/>
    </xf>
    <xf numFmtId="2" fontId="10" fillId="17" borderId="1" xfId="0" applyNumberFormat="1" applyFont="1" applyFill="1" applyBorder="1" applyAlignment="1">
      <alignment horizontal="center" vertical="center"/>
    </xf>
    <xf numFmtId="44" fontId="10" fillId="17" borderId="1" xfId="2" applyFont="1" applyFill="1" applyBorder="1" applyAlignment="1">
      <alignment horizontal="center" vertical="center"/>
    </xf>
    <xf numFmtId="2" fontId="6" fillId="17" borderId="1" xfId="2" applyNumberFormat="1" applyFont="1" applyFill="1" applyBorder="1" applyAlignment="1">
      <alignment horizontal="right"/>
    </xf>
    <xf numFmtId="44" fontId="44" fillId="0" borderId="0" xfId="2" applyFont="1"/>
    <xf numFmtId="0" fontId="44" fillId="0" borderId="0" xfId="0" applyFont="1"/>
    <xf numFmtId="44" fontId="2" fillId="0" borderId="24" xfId="2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39" fillId="0" borderId="31" xfId="0" applyNumberFormat="1" applyFont="1" applyBorder="1" applyAlignment="1"/>
    <xf numFmtId="44" fontId="39" fillId="0" borderId="0" xfId="2" applyFont="1" applyAlignment="1"/>
    <xf numFmtId="44" fontId="45" fillId="0" borderId="0" xfId="0" applyNumberFormat="1" applyFont="1"/>
    <xf numFmtId="0" fontId="46" fillId="0" borderId="10" xfId="0" applyFont="1" applyBorder="1" applyAlignment="1"/>
    <xf numFmtId="44" fontId="47" fillId="0" borderId="10" xfId="0" applyNumberFormat="1" applyFont="1" applyBorder="1" applyAlignment="1"/>
    <xf numFmtId="0" fontId="48" fillId="0" borderId="0" xfId="0" applyFont="1"/>
    <xf numFmtId="0" fontId="48" fillId="0" borderId="0" xfId="0" applyFont="1" applyAlignment="1">
      <alignment horizontal="center"/>
    </xf>
    <xf numFmtId="44" fontId="39" fillId="0" borderId="0" xfId="2" applyFont="1"/>
    <xf numFmtId="44" fontId="3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17" fillId="3" borderId="7" xfId="1" applyNumberFormat="1" applyFont="1" applyFill="1" applyBorder="1" applyAlignment="1">
      <alignment horizontal="left"/>
    </xf>
    <xf numFmtId="2" fontId="17" fillId="3" borderId="6" xfId="1" applyNumberFormat="1" applyFont="1" applyFill="1" applyBorder="1" applyAlignment="1">
      <alignment horizontal="left"/>
    </xf>
    <xf numFmtId="2" fontId="17" fillId="3" borderId="7" xfId="0" applyNumberFormat="1" applyFont="1" applyFill="1" applyBorder="1" applyAlignment="1">
      <alignment horizontal="left" wrapText="1"/>
    </xf>
    <xf numFmtId="2" fontId="17" fillId="3" borderId="6" xfId="0" applyNumberFormat="1" applyFont="1" applyFill="1" applyBorder="1" applyAlignment="1">
      <alignment horizontal="left" wrapText="1"/>
    </xf>
    <xf numFmtId="0" fontId="17" fillId="0" borderId="12" xfId="0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2" fontId="30" fillId="3" borderId="7" xfId="1" applyNumberFormat="1" applyFont="1" applyFill="1" applyBorder="1" applyAlignment="1">
      <alignment horizontal="left" wrapText="1"/>
    </xf>
    <xf numFmtId="2" fontId="30" fillId="3" borderId="5" xfId="1" applyNumberFormat="1" applyFont="1" applyFill="1" applyBorder="1" applyAlignment="1">
      <alignment horizontal="left" wrapText="1"/>
    </xf>
    <xf numFmtId="2" fontId="30" fillId="3" borderId="6" xfId="1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2" fontId="30" fillId="5" borderId="7" xfId="0" applyNumberFormat="1" applyFont="1" applyFill="1" applyBorder="1" applyAlignment="1">
      <alignment horizontal="center" wrapText="1"/>
    </xf>
    <xf numFmtId="2" fontId="30" fillId="5" borderId="5" xfId="0" applyNumberFormat="1" applyFont="1" applyFill="1" applyBorder="1" applyAlignment="1">
      <alignment horizontal="center" wrapText="1"/>
    </xf>
    <xf numFmtId="2" fontId="30" fillId="5" borderId="6" xfId="0" applyNumberFormat="1" applyFont="1" applyFill="1" applyBorder="1" applyAlignment="1">
      <alignment horizontal="center" wrapText="1"/>
    </xf>
    <xf numFmtId="2" fontId="22" fillId="5" borderId="28" xfId="0" applyNumberFormat="1" applyFont="1" applyFill="1" applyBorder="1" applyAlignment="1">
      <alignment horizontal="center"/>
    </xf>
    <xf numFmtId="2" fontId="22" fillId="5" borderId="27" xfId="0" applyNumberFormat="1" applyFont="1" applyFill="1" applyBorder="1" applyAlignment="1">
      <alignment horizontal="center"/>
    </xf>
    <xf numFmtId="2" fontId="22" fillId="5" borderId="22" xfId="0" applyNumberFormat="1" applyFont="1" applyFill="1" applyBorder="1" applyAlignment="1">
      <alignment horizontal="center"/>
    </xf>
    <xf numFmtId="2" fontId="22" fillId="3" borderId="12" xfId="0" applyNumberFormat="1" applyFont="1" applyFill="1" applyBorder="1" applyAlignment="1">
      <alignment horizontal="center"/>
    </xf>
    <xf numFmtId="2" fontId="22" fillId="3" borderId="13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2" fontId="30" fillId="5" borderId="7" xfId="0" applyNumberFormat="1" applyFont="1" applyFill="1" applyBorder="1" applyAlignment="1">
      <alignment horizontal="left" wrapText="1"/>
    </xf>
    <xf numFmtId="2" fontId="30" fillId="5" borderId="6" xfId="0" applyNumberFormat="1" applyFont="1" applyFill="1" applyBorder="1" applyAlignment="1">
      <alignment horizontal="left" wrapText="1"/>
    </xf>
    <xf numFmtId="0" fontId="34" fillId="0" borderId="0" xfId="0" applyFont="1" applyAlignment="1">
      <alignment horizontal="center"/>
    </xf>
    <xf numFmtId="0" fontId="34" fillId="0" borderId="23" xfId="0" applyFont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49" fontId="4" fillId="2" borderId="17" xfId="0" applyNumberFormat="1" applyFont="1" applyFill="1" applyBorder="1" applyAlignment="1">
      <alignment horizontal="center" wrapText="1"/>
    </xf>
    <xf numFmtId="49" fontId="4" fillId="2" borderId="19" xfId="0" applyNumberFormat="1" applyFont="1" applyFill="1" applyBorder="1" applyAlignment="1">
      <alignment horizontal="center" wrapText="1"/>
    </xf>
    <xf numFmtId="49" fontId="4" fillId="2" borderId="16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center"/>
    </xf>
    <xf numFmtId="0" fontId="31" fillId="2" borderId="18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65" fontId="30" fillId="3" borderId="7" xfId="1" applyNumberFormat="1" applyFont="1" applyFill="1" applyBorder="1" applyAlignment="1">
      <alignment horizontal="left" wrapText="1"/>
    </xf>
    <xf numFmtId="165" fontId="30" fillId="3" borderId="5" xfId="1" applyNumberFormat="1" applyFont="1" applyFill="1" applyBorder="1" applyAlignment="1">
      <alignment horizontal="left" wrapText="1"/>
    </xf>
    <xf numFmtId="165" fontId="30" fillId="3" borderId="6" xfId="1" applyNumberFormat="1" applyFont="1" applyFill="1" applyBorder="1" applyAlignment="1">
      <alignment horizontal="left" wrapText="1"/>
    </xf>
    <xf numFmtId="165" fontId="30" fillId="3" borderId="7" xfId="1" applyNumberFormat="1" applyFont="1" applyFill="1" applyBorder="1" applyAlignment="1">
      <alignment horizontal="center"/>
    </xf>
    <xf numFmtId="165" fontId="30" fillId="3" borderId="5" xfId="1" applyNumberFormat="1" applyFont="1" applyFill="1" applyBorder="1" applyAlignment="1">
      <alignment horizontal="center"/>
    </xf>
    <xf numFmtId="165" fontId="30" fillId="3" borderId="6" xfId="1" applyNumberFormat="1" applyFont="1" applyFill="1" applyBorder="1" applyAlignment="1">
      <alignment horizontal="center"/>
    </xf>
    <xf numFmtId="165" fontId="38" fillId="3" borderId="7" xfId="1" applyNumberFormat="1" applyFont="1" applyFill="1" applyBorder="1" applyAlignment="1">
      <alignment horizontal="left" wrapText="1"/>
    </xf>
    <xf numFmtId="165" fontId="38" fillId="3" borderId="5" xfId="1" applyNumberFormat="1" applyFont="1" applyFill="1" applyBorder="1" applyAlignment="1">
      <alignment horizontal="left" wrapText="1"/>
    </xf>
    <xf numFmtId="165" fontId="38" fillId="3" borderId="6" xfId="1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6" fillId="0" borderId="10" xfId="0" applyNumberFormat="1" applyFont="1" applyBorder="1" applyAlignment="1">
      <alignment horizontal="center"/>
    </xf>
    <xf numFmtId="44" fontId="46" fillId="0" borderId="10" xfId="2" applyFont="1" applyBorder="1" applyAlignment="1">
      <alignment horizontal="center"/>
    </xf>
    <xf numFmtId="0" fontId="30" fillId="0" borderId="12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2" fontId="30" fillId="3" borderId="7" xfId="1" applyNumberFormat="1" applyFont="1" applyFill="1" applyBorder="1" applyAlignment="1">
      <alignment horizontal="left"/>
    </xf>
    <xf numFmtId="2" fontId="30" fillId="3" borderId="6" xfId="1" applyNumberFormat="1" applyFont="1" applyFill="1" applyBorder="1" applyAlignment="1">
      <alignment horizontal="left"/>
    </xf>
    <xf numFmtId="2" fontId="30" fillId="3" borderId="7" xfId="0" applyNumberFormat="1" applyFont="1" applyFill="1" applyBorder="1" applyAlignment="1">
      <alignment horizontal="center" wrapText="1"/>
    </xf>
    <xf numFmtId="2" fontId="30" fillId="3" borderId="6" xfId="0" applyNumberFormat="1" applyFont="1" applyFill="1" applyBorder="1" applyAlignment="1">
      <alignment horizontal="center" wrapText="1"/>
    </xf>
    <xf numFmtId="0" fontId="30" fillId="0" borderId="26" xfId="0" applyFont="1" applyBorder="1" applyAlignment="1">
      <alignment horizontal="center" wrapText="1"/>
    </xf>
    <xf numFmtId="0" fontId="30" fillId="0" borderId="27" xfId="0" applyFont="1" applyBorder="1" applyAlignment="1">
      <alignment horizontal="center" wrapText="1"/>
    </xf>
    <xf numFmtId="0" fontId="30" fillId="0" borderId="22" xfId="0" applyFont="1" applyBorder="1" applyAlignment="1">
      <alignment horizontal="center" wrapText="1"/>
    </xf>
    <xf numFmtId="2" fontId="30" fillId="3" borderId="5" xfId="0" applyNumberFormat="1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01\Dropbox\Presupuesto\FORMULACION%202022\PRESUPUS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ESTRUCTURA"/>
      <sheetName val="PRESUPUESTO DE GASTOS X DEPTO."/>
      <sheetName val="ANEXO 4.1 FONDOS PROPIOS"/>
      <sheetName val="ANEXO 4.2 FODES LIBRE DISPON."/>
      <sheetName val="ANEXO 4.3.1 PROYECTOS LIBRE DI "/>
      <sheetName val="ANEXO 4 CONSOLIDADO DE EGRESO"/>
      <sheetName val="ANEXO 4.3.2. PROYECTOS FMI,BID"/>
      <sheetName val="ANEXO 4.3.3 PROYECTOS PRESTAMOS"/>
      <sheetName val="ANEXO 4.4 DESCUEN X PREST. AMOR"/>
      <sheetName val="ANEXO 4.5 DONACION"/>
      <sheetName val="ANEXO 3 CONSOLIDADO DE INGRESO"/>
      <sheetName val="SALDO DEL 2021 LIBRE DISPON"/>
      <sheetName val="LIBRE DISPONIBILID2022"/>
      <sheetName val="EXPLICACION DISPONIB. BANCARIA"/>
    </sheetNames>
    <sheetDataSet>
      <sheetData sheetId="0" refreshError="1"/>
      <sheetData sheetId="1">
        <row r="1281">
          <cell r="B1281">
            <v>70</v>
          </cell>
        </row>
      </sheetData>
      <sheetData sheetId="2">
        <row r="5">
          <cell r="H5">
            <v>960669</v>
          </cell>
        </row>
        <row r="6">
          <cell r="H6">
            <v>277200</v>
          </cell>
        </row>
        <row r="7">
          <cell r="H7">
            <v>147190.03</v>
          </cell>
        </row>
        <row r="8">
          <cell r="H8">
            <v>18500</v>
          </cell>
        </row>
        <row r="9">
          <cell r="H9">
            <v>82869.540000000023</v>
          </cell>
        </row>
        <row r="10">
          <cell r="H10">
            <v>11055.860000000002</v>
          </cell>
        </row>
        <row r="11">
          <cell r="H11">
            <v>4420.6099999999997</v>
          </cell>
        </row>
        <row r="12">
          <cell r="H12">
            <v>106318.16000000003</v>
          </cell>
        </row>
        <row r="13">
          <cell r="H13">
            <v>145500</v>
          </cell>
        </row>
        <row r="14">
          <cell r="H14">
            <v>12950</v>
          </cell>
        </row>
        <row r="69">
          <cell r="H69">
            <v>463909.68</v>
          </cell>
        </row>
        <row r="70">
          <cell r="H70">
            <v>35633.409999999996</v>
          </cell>
        </row>
        <row r="71">
          <cell r="H71">
            <v>4738.09</v>
          </cell>
        </row>
        <row r="72">
          <cell r="H72">
            <v>38969.049999999996</v>
          </cell>
        </row>
        <row r="73">
          <cell r="H73">
            <v>1000</v>
          </cell>
        </row>
        <row r="105">
          <cell r="H105">
            <v>407028</v>
          </cell>
        </row>
        <row r="106">
          <cell r="H106">
            <v>33071.21</v>
          </cell>
        </row>
        <row r="107">
          <cell r="H107">
            <v>4409.47</v>
          </cell>
        </row>
        <row r="108">
          <cell r="H108">
            <v>1377.48</v>
          </cell>
        </row>
        <row r="109">
          <cell r="H109">
            <v>32394.233</v>
          </cell>
        </row>
        <row r="110">
          <cell r="H110">
            <v>5000</v>
          </cell>
        </row>
        <row r="145">
          <cell r="H145">
            <v>156102.96</v>
          </cell>
        </row>
        <row r="146">
          <cell r="H146">
            <v>12391.04</v>
          </cell>
        </row>
        <row r="147">
          <cell r="H147">
            <v>1652.13</v>
          </cell>
        </row>
        <row r="148">
          <cell r="H148">
            <v>583.22</v>
          </cell>
        </row>
        <row r="149">
          <cell r="H149">
            <v>679.58</v>
          </cell>
        </row>
        <row r="150">
          <cell r="H150">
            <v>11650.62</v>
          </cell>
        </row>
        <row r="169">
          <cell r="H169">
            <v>915954</v>
          </cell>
        </row>
        <row r="170">
          <cell r="H170">
            <v>76994.420000000086</v>
          </cell>
        </row>
        <row r="171">
          <cell r="H171">
            <v>10266.219999999998</v>
          </cell>
        </row>
        <row r="172">
          <cell r="H172">
            <v>2954.99</v>
          </cell>
        </row>
        <row r="173">
          <cell r="H173">
            <v>75743.690000000017</v>
          </cell>
        </row>
      </sheetData>
      <sheetData sheetId="3">
        <row r="5">
          <cell r="H5">
            <v>83055.75</v>
          </cell>
        </row>
        <row r="6">
          <cell r="H6">
            <v>123200</v>
          </cell>
        </row>
        <row r="7">
          <cell r="H7">
            <v>33300</v>
          </cell>
        </row>
        <row r="8">
          <cell r="H8">
            <v>2809.97</v>
          </cell>
        </row>
        <row r="9">
          <cell r="H9">
            <v>3437.4600000000009</v>
          </cell>
        </row>
        <row r="10">
          <cell r="H10">
            <v>959.95</v>
          </cell>
        </row>
        <row r="11">
          <cell r="H11">
            <v>1500</v>
          </cell>
        </row>
        <row r="12">
          <cell r="H12">
            <v>11500</v>
          </cell>
        </row>
        <row r="13">
          <cell r="H13">
            <v>60000</v>
          </cell>
        </row>
        <row r="14">
          <cell r="H14">
            <v>6375</v>
          </cell>
        </row>
        <row r="15">
          <cell r="H15">
            <v>6660</v>
          </cell>
        </row>
        <row r="41">
          <cell r="H41">
            <v>38659.14</v>
          </cell>
        </row>
        <row r="42">
          <cell r="H42">
            <v>15300</v>
          </cell>
        </row>
        <row r="43">
          <cell r="H43">
            <v>257.14</v>
          </cell>
        </row>
        <row r="44">
          <cell r="H44">
            <v>3000</v>
          </cell>
        </row>
        <row r="45">
          <cell r="H45">
            <v>3060</v>
          </cell>
        </row>
        <row r="48">
          <cell r="H48">
            <v>33919</v>
          </cell>
        </row>
        <row r="49">
          <cell r="H49">
            <v>17700</v>
          </cell>
        </row>
        <row r="50">
          <cell r="H50">
            <v>1375</v>
          </cell>
        </row>
        <row r="51">
          <cell r="H51">
            <v>3540</v>
          </cell>
        </row>
        <row r="53">
          <cell r="H53">
            <v>13008.58</v>
          </cell>
        </row>
        <row r="54">
          <cell r="H54">
            <v>5400</v>
          </cell>
        </row>
        <row r="55">
          <cell r="H55">
            <v>1250</v>
          </cell>
        </row>
        <row r="56">
          <cell r="H56">
            <v>1080</v>
          </cell>
        </row>
        <row r="63">
          <cell r="H63">
            <v>76329.5</v>
          </cell>
        </row>
        <row r="64">
          <cell r="H64">
            <v>37800</v>
          </cell>
        </row>
        <row r="65">
          <cell r="H65">
            <v>10677.679999999998</v>
          </cell>
        </row>
        <row r="66">
          <cell r="H66">
            <v>23623.620000000006</v>
          </cell>
        </row>
        <row r="67">
          <cell r="H67">
            <v>10000</v>
          </cell>
        </row>
        <row r="68">
          <cell r="H68">
            <v>7560</v>
          </cell>
        </row>
      </sheetData>
      <sheetData sheetId="4" refreshError="1"/>
      <sheetData sheetId="5">
        <row r="87">
          <cell r="R87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59">
          <cell r="I59">
            <v>21964067.77333333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Q367"/>
  <sheetViews>
    <sheetView topLeftCell="A342" workbookViewId="0">
      <selection activeCell="B204" sqref="B204"/>
    </sheetView>
  </sheetViews>
  <sheetFormatPr baseColWidth="10" defaultRowHeight="15"/>
  <cols>
    <col min="1" max="1" width="4.5703125" customWidth="1"/>
    <col min="2" max="2" width="32.7109375" customWidth="1"/>
    <col min="3" max="3" width="26.28515625" customWidth="1"/>
    <col min="4" max="4" width="15.85546875" customWidth="1"/>
    <col min="6" max="6" width="8.42578125" customWidth="1"/>
  </cols>
  <sheetData>
    <row r="4" spans="1:43">
      <c r="A4" s="399" t="s">
        <v>0</v>
      </c>
      <c r="B4" s="400" t="s">
        <v>1</v>
      </c>
      <c r="C4" s="403" t="s">
        <v>2</v>
      </c>
      <c r="D4" s="403" t="s">
        <v>3</v>
      </c>
      <c r="E4" s="403" t="s">
        <v>4</v>
      </c>
      <c r="F4" s="419" t="s">
        <v>5</v>
      </c>
      <c r="G4" s="403" t="s">
        <v>6</v>
      </c>
      <c r="H4" s="403"/>
      <c r="I4" s="1"/>
      <c r="J4" s="403"/>
      <c r="K4" s="403"/>
      <c r="L4" s="403"/>
      <c r="M4" s="403"/>
      <c r="N4" s="403"/>
      <c r="O4" s="1"/>
      <c r="P4" s="403" t="s">
        <v>7</v>
      </c>
      <c r="Q4" s="403"/>
      <c r="R4" s="403"/>
      <c r="S4" s="403"/>
      <c r="T4" s="403"/>
      <c r="U4" s="403"/>
      <c r="V4" s="403"/>
      <c r="W4" s="403"/>
      <c r="X4" s="403"/>
      <c r="Y4" s="403"/>
      <c r="Z4" s="403" t="s">
        <v>8</v>
      </c>
      <c r="AA4" s="416" t="s">
        <v>9</v>
      </c>
      <c r="AB4" s="403" t="s">
        <v>10</v>
      </c>
      <c r="AC4" s="1"/>
      <c r="AD4" s="1"/>
      <c r="AE4" s="403" t="s">
        <v>11</v>
      </c>
      <c r="AF4" s="403"/>
      <c r="AG4" s="403"/>
      <c r="AH4" s="403"/>
      <c r="AI4" s="403"/>
      <c r="AJ4" s="403" t="s">
        <v>8</v>
      </c>
      <c r="AK4" s="403" t="s">
        <v>12</v>
      </c>
      <c r="AL4" s="403" t="s">
        <v>13</v>
      </c>
      <c r="AM4" s="403" t="s">
        <v>14</v>
      </c>
      <c r="AN4" s="403" t="s">
        <v>15</v>
      </c>
      <c r="AO4" s="403" t="s">
        <v>16</v>
      </c>
      <c r="AP4" s="403" t="s">
        <v>17</v>
      </c>
      <c r="AQ4" s="403" t="s">
        <v>18</v>
      </c>
    </row>
    <row r="5" spans="1:43" ht="18">
      <c r="A5" s="399"/>
      <c r="B5" s="401"/>
      <c r="C5" s="403"/>
      <c r="D5" s="403"/>
      <c r="E5" s="403"/>
      <c r="F5" s="419"/>
      <c r="G5" s="404" t="s">
        <v>19</v>
      </c>
      <c r="H5" s="404" t="s">
        <v>20</v>
      </c>
      <c r="I5" s="405" t="s">
        <v>21</v>
      </c>
      <c r="J5" s="403" t="s">
        <v>22</v>
      </c>
      <c r="K5" s="403" t="s">
        <v>23</v>
      </c>
      <c r="L5" s="403" t="s">
        <v>24</v>
      </c>
      <c r="M5" s="403" t="s">
        <v>25</v>
      </c>
      <c r="N5" s="403" t="s">
        <v>26</v>
      </c>
      <c r="O5" s="403" t="s">
        <v>27</v>
      </c>
      <c r="P5" s="1" t="s">
        <v>28</v>
      </c>
      <c r="Q5" s="1" t="s">
        <v>29</v>
      </c>
      <c r="R5" s="1" t="s">
        <v>29</v>
      </c>
      <c r="S5" s="403" t="s">
        <v>30</v>
      </c>
      <c r="T5" s="403"/>
      <c r="U5" s="403"/>
      <c r="V5" s="403"/>
      <c r="W5" s="403"/>
      <c r="X5" s="403"/>
      <c r="Y5" s="403"/>
      <c r="Z5" s="403"/>
      <c r="AA5" s="417"/>
      <c r="AB5" s="403"/>
      <c r="AC5" s="1"/>
      <c r="AD5" s="1"/>
      <c r="AE5" s="1" t="s">
        <v>28</v>
      </c>
      <c r="AF5" s="403" t="s">
        <v>31</v>
      </c>
      <c r="AG5" s="403"/>
      <c r="AH5" s="403"/>
      <c r="AI5" s="403"/>
      <c r="AJ5" s="403"/>
      <c r="AK5" s="403"/>
      <c r="AL5" s="403"/>
      <c r="AM5" s="403"/>
      <c r="AN5" s="403"/>
      <c r="AO5" s="403"/>
      <c r="AP5" s="403"/>
      <c r="AQ5" s="403"/>
    </row>
    <row r="6" spans="1:43" ht="18">
      <c r="A6" s="399"/>
      <c r="B6" s="402"/>
      <c r="C6" s="403"/>
      <c r="D6" s="403"/>
      <c r="E6" s="403"/>
      <c r="F6" s="419"/>
      <c r="G6" s="404"/>
      <c r="H6" s="404"/>
      <c r="I6" s="405"/>
      <c r="J6" s="403"/>
      <c r="K6" s="403"/>
      <c r="L6" s="403"/>
      <c r="M6" s="403"/>
      <c r="N6" s="403"/>
      <c r="O6" s="403" t="s">
        <v>32</v>
      </c>
      <c r="P6" s="1" t="s">
        <v>33</v>
      </c>
      <c r="Q6" s="1" t="s">
        <v>34</v>
      </c>
      <c r="R6" s="1" t="s">
        <v>35</v>
      </c>
      <c r="S6" s="1" t="s">
        <v>36</v>
      </c>
      <c r="T6" s="1" t="s">
        <v>37</v>
      </c>
      <c r="U6" s="1" t="s">
        <v>38</v>
      </c>
      <c r="V6" s="1" t="s">
        <v>39</v>
      </c>
      <c r="W6" s="1" t="s">
        <v>40</v>
      </c>
      <c r="X6" s="1" t="s">
        <v>41</v>
      </c>
      <c r="Y6" s="1" t="s">
        <v>42</v>
      </c>
      <c r="Z6" s="403"/>
      <c r="AA6" s="418"/>
      <c r="AB6" s="403"/>
      <c r="AC6" s="1"/>
      <c r="AD6" s="1"/>
      <c r="AE6" s="1" t="s">
        <v>33</v>
      </c>
      <c r="AF6" s="1" t="s">
        <v>36</v>
      </c>
      <c r="AG6" s="1" t="s">
        <v>38</v>
      </c>
      <c r="AH6" s="1" t="s">
        <v>40</v>
      </c>
      <c r="AI6" s="1" t="s">
        <v>42</v>
      </c>
      <c r="AJ6" s="403"/>
      <c r="AK6" s="403"/>
      <c r="AL6" s="403"/>
      <c r="AM6" s="403"/>
      <c r="AN6" s="403"/>
      <c r="AO6" s="403"/>
      <c r="AP6" s="403"/>
      <c r="AQ6" s="403"/>
    </row>
    <row r="7" spans="1:43">
      <c r="A7" s="2">
        <v>1</v>
      </c>
      <c r="B7" s="3" t="s">
        <v>43</v>
      </c>
      <c r="C7" s="4" t="s">
        <v>44</v>
      </c>
      <c r="D7" s="5" t="s">
        <v>45</v>
      </c>
      <c r="E7" s="6" t="s">
        <v>46</v>
      </c>
      <c r="F7" s="7" t="s">
        <v>47</v>
      </c>
      <c r="G7" s="8"/>
      <c r="H7" s="8"/>
      <c r="I7" s="8"/>
      <c r="J7" s="9">
        <v>10000</v>
      </c>
      <c r="K7" s="10">
        <v>3000</v>
      </c>
      <c r="L7" s="11"/>
      <c r="M7" s="10"/>
      <c r="N7" s="10"/>
      <c r="O7" s="9">
        <v>9730</v>
      </c>
      <c r="P7" s="12">
        <f t="shared" ref="P7:P20" si="0">AQ7*0.0775</f>
        <v>1309.75</v>
      </c>
      <c r="Q7" s="9"/>
      <c r="R7" s="12">
        <f>P7/13</f>
        <v>100.75</v>
      </c>
      <c r="S7" s="9"/>
      <c r="T7" s="9"/>
      <c r="U7" s="9">
        <v>975</v>
      </c>
      <c r="V7" s="12">
        <f t="shared" ref="V7:V20" si="1">U7/13</f>
        <v>75</v>
      </c>
      <c r="W7" s="9"/>
      <c r="X7" s="9"/>
      <c r="Y7" s="12">
        <f>P7+S7+U7+W7</f>
        <v>2284.75</v>
      </c>
      <c r="Z7" s="12">
        <v>130</v>
      </c>
      <c r="AA7" s="12">
        <f t="shared" ref="AA7:AA20" si="2">Z7/13</f>
        <v>10</v>
      </c>
      <c r="AB7" s="9"/>
      <c r="AC7" s="9"/>
      <c r="AD7" s="9"/>
      <c r="AE7" s="9"/>
      <c r="AF7" s="9"/>
      <c r="AG7" s="9"/>
      <c r="AH7" s="9"/>
      <c r="AI7" s="9"/>
      <c r="AJ7" s="9"/>
      <c r="AK7" s="9">
        <v>15915.89</v>
      </c>
      <c r="AL7" s="9">
        <f>110000</f>
        <v>110000</v>
      </c>
      <c r="AM7" s="9">
        <v>27900</v>
      </c>
      <c r="AN7" s="9">
        <v>9500</v>
      </c>
      <c r="AO7" s="9">
        <f>34903.78+7819.04</f>
        <v>42722.82</v>
      </c>
      <c r="AP7" s="9">
        <v>20000</v>
      </c>
      <c r="AQ7" s="9">
        <f t="shared" ref="AQ7:AQ20" si="3">1300*13</f>
        <v>16900</v>
      </c>
    </row>
    <row r="8" spans="1:43">
      <c r="A8" s="2">
        <f>A7+1</f>
        <v>2</v>
      </c>
      <c r="B8" s="3" t="s">
        <v>48</v>
      </c>
      <c r="C8" s="4" t="s">
        <v>49</v>
      </c>
      <c r="D8" s="5" t="s">
        <v>45</v>
      </c>
      <c r="E8" s="6" t="s">
        <v>46</v>
      </c>
      <c r="F8" s="7" t="s">
        <v>47</v>
      </c>
      <c r="G8" s="8"/>
      <c r="H8" s="8"/>
      <c r="I8" s="8"/>
      <c r="J8" s="8"/>
      <c r="K8" s="8"/>
      <c r="L8" s="11"/>
      <c r="M8" s="8"/>
      <c r="N8" s="10"/>
      <c r="O8" s="9"/>
      <c r="P8" s="12">
        <f t="shared" si="0"/>
        <v>1309.75</v>
      </c>
      <c r="Q8" s="9"/>
      <c r="R8" s="12">
        <f>P8/13</f>
        <v>100.75</v>
      </c>
      <c r="S8" s="9"/>
      <c r="T8" s="9"/>
      <c r="U8" s="9">
        <v>975</v>
      </c>
      <c r="V8" s="12">
        <f t="shared" si="1"/>
        <v>75</v>
      </c>
      <c r="W8" s="9"/>
      <c r="X8" s="9"/>
      <c r="Y8" s="12">
        <f t="shared" ref="Y8:Y20" si="4">P8+S8+U8+W8</f>
        <v>2284.75</v>
      </c>
      <c r="Z8" s="12">
        <v>130</v>
      </c>
      <c r="AA8" s="12">
        <f t="shared" si="2"/>
        <v>10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 t="s">
        <v>50</v>
      </c>
      <c r="AM8" s="9"/>
      <c r="AN8" s="9"/>
      <c r="AO8" s="9"/>
      <c r="AP8" s="9"/>
      <c r="AQ8" s="9">
        <f t="shared" si="3"/>
        <v>16900</v>
      </c>
    </row>
    <row r="9" spans="1:43">
      <c r="A9" s="2">
        <f>A8+1</f>
        <v>3</v>
      </c>
      <c r="B9" s="3" t="s">
        <v>51</v>
      </c>
      <c r="C9" s="4" t="s">
        <v>52</v>
      </c>
      <c r="D9" s="5" t="s">
        <v>45</v>
      </c>
      <c r="E9" s="6" t="s">
        <v>46</v>
      </c>
      <c r="F9" s="7" t="s">
        <v>47</v>
      </c>
      <c r="G9" s="8"/>
      <c r="H9" s="8"/>
      <c r="I9" s="8"/>
      <c r="J9" s="8"/>
      <c r="K9" s="8"/>
      <c r="L9" s="11"/>
      <c r="M9" s="8"/>
      <c r="N9" s="10"/>
      <c r="O9" s="9"/>
      <c r="P9" s="12">
        <f t="shared" si="0"/>
        <v>1309.75</v>
      </c>
      <c r="Q9" s="9"/>
      <c r="R9" s="12">
        <f>P9/13</f>
        <v>100.75</v>
      </c>
      <c r="S9" s="9"/>
      <c r="T9" s="9"/>
      <c r="U9" s="9">
        <v>975</v>
      </c>
      <c r="V9" s="12">
        <f t="shared" si="1"/>
        <v>75</v>
      </c>
      <c r="W9" s="9"/>
      <c r="X9" s="9"/>
      <c r="Y9" s="12">
        <f t="shared" si="4"/>
        <v>2284.75</v>
      </c>
      <c r="Z9" s="12">
        <v>130</v>
      </c>
      <c r="AA9" s="12">
        <f t="shared" si="2"/>
        <v>10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13"/>
      <c r="AM9" s="13"/>
      <c r="AN9" s="13"/>
      <c r="AO9" s="13"/>
      <c r="AP9" s="9"/>
      <c r="AQ9" s="9">
        <f t="shared" si="3"/>
        <v>16900</v>
      </c>
    </row>
    <row r="10" spans="1:43">
      <c r="A10" s="2">
        <f t="shared" ref="A10:A20" si="5">A9+1</f>
        <v>4</v>
      </c>
      <c r="B10" s="3" t="s">
        <v>53</v>
      </c>
      <c r="C10" s="4" t="s">
        <v>54</v>
      </c>
      <c r="D10" s="5" t="s">
        <v>45</v>
      </c>
      <c r="E10" s="6" t="s">
        <v>46</v>
      </c>
      <c r="F10" s="7" t="s">
        <v>47</v>
      </c>
      <c r="G10" s="8"/>
      <c r="H10" s="8"/>
      <c r="I10" s="8"/>
      <c r="J10" s="8"/>
      <c r="K10" s="8"/>
      <c r="L10" s="11"/>
      <c r="M10" s="8"/>
      <c r="N10" s="10"/>
      <c r="O10" s="9"/>
      <c r="P10" s="12">
        <f t="shared" si="0"/>
        <v>1309.75</v>
      </c>
      <c r="Q10" s="9"/>
      <c r="R10" s="12">
        <f>P10/13</f>
        <v>100.75</v>
      </c>
      <c r="S10" s="9"/>
      <c r="T10" s="9"/>
      <c r="U10" s="9">
        <v>975</v>
      </c>
      <c r="V10" s="12">
        <f t="shared" si="1"/>
        <v>75</v>
      </c>
      <c r="W10" s="9"/>
      <c r="X10" s="9"/>
      <c r="Y10" s="12">
        <f t="shared" si="4"/>
        <v>2284.75</v>
      </c>
      <c r="Z10" s="12">
        <v>130</v>
      </c>
      <c r="AA10" s="12">
        <f t="shared" si="2"/>
        <v>10</v>
      </c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>
        <f t="shared" si="3"/>
        <v>16900</v>
      </c>
    </row>
    <row r="11" spans="1:43">
      <c r="A11" s="2">
        <f t="shared" si="5"/>
        <v>5</v>
      </c>
      <c r="B11" s="3" t="s">
        <v>55</v>
      </c>
      <c r="C11" s="4" t="s">
        <v>56</v>
      </c>
      <c r="D11" s="5" t="s">
        <v>45</v>
      </c>
      <c r="E11" s="6" t="s">
        <v>46</v>
      </c>
      <c r="F11" s="7" t="s">
        <v>47</v>
      </c>
      <c r="G11" s="8"/>
      <c r="H11" s="8"/>
      <c r="I11" s="8"/>
      <c r="J11" s="8"/>
      <c r="K11" s="8"/>
      <c r="L11" s="11"/>
      <c r="M11" s="8"/>
      <c r="N11" s="10"/>
      <c r="O11" s="9"/>
      <c r="P11" s="12">
        <f t="shared" si="0"/>
        <v>1309.75</v>
      </c>
      <c r="Q11" s="9"/>
      <c r="R11" s="12">
        <f>P11/13</f>
        <v>100.75</v>
      </c>
      <c r="S11" s="9"/>
      <c r="T11" s="9"/>
      <c r="U11" s="9">
        <v>975</v>
      </c>
      <c r="V11" s="12">
        <f t="shared" si="1"/>
        <v>75</v>
      </c>
      <c r="W11" s="9"/>
      <c r="X11" s="9"/>
      <c r="Y11" s="12">
        <f t="shared" si="4"/>
        <v>2284.75</v>
      </c>
      <c r="Z11" s="12">
        <v>130</v>
      </c>
      <c r="AA11" s="12">
        <f t="shared" si="2"/>
        <v>10</v>
      </c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>
        <f t="shared" si="3"/>
        <v>16900</v>
      </c>
    </row>
    <row r="12" spans="1:43">
      <c r="A12" s="2">
        <f t="shared" si="5"/>
        <v>6</v>
      </c>
      <c r="B12" s="3" t="s">
        <v>57</v>
      </c>
      <c r="C12" s="4" t="s">
        <v>58</v>
      </c>
      <c r="D12" s="5" t="s">
        <v>45</v>
      </c>
      <c r="E12" s="6" t="s">
        <v>46</v>
      </c>
      <c r="F12" s="7" t="s">
        <v>47</v>
      </c>
      <c r="G12" s="8"/>
      <c r="H12" s="8"/>
      <c r="I12" s="8"/>
      <c r="J12" s="8"/>
      <c r="K12" s="8"/>
      <c r="L12" s="11"/>
      <c r="M12" s="8"/>
      <c r="N12" s="10"/>
      <c r="O12" s="9"/>
      <c r="P12" s="12">
        <f t="shared" si="0"/>
        <v>1309.75</v>
      </c>
      <c r="Q12" s="9">
        <f t="shared" ref="Q12:Q19" si="6">P12/13</f>
        <v>100.75</v>
      </c>
      <c r="R12" s="9"/>
      <c r="S12" s="9"/>
      <c r="T12" s="9"/>
      <c r="U12" s="9">
        <v>975</v>
      </c>
      <c r="V12" s="12">
        <f t="shared" si="1"/>
        <v>75</v>
      </c>
      <c r="W12" s="9"/>
      <c r="X12" s="9"/>
      <c r="Y12" s="12">
        <f t="shared" si="4"/>
        <v>2284.75</v>
      </c>
      <c r="Z12" s="12">
        <v>130</v>
      </c>
      <c r="AA12" s="12">
        <f t="shared" si="2"/>
        <v>10</v>
      </c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>
        <f t="shared" si="3"/>
        <v>16900</v>
      </c>
    </row>
    <row r="13" spans="1:43">
      <c r="A13" s="2">
        <f t="shared" si="5"/>
        <v>7</v>
      </c>
      <c r="B13" s="3" t="s">
        <v>59</v>
      </c>
      <c r="C13" s="4" t="s">
        <v>60</v>
      </c>
      <c r="D13" s="5" t="s">
        <v>45</v>
      </c>
      <c r="E13" s="6" t="s">
        <v>46</v>
      </c>
      <c r="F13" s="7" t="s">
        <v>47</v>
      </c>
      <c r="G13" s="8"/>
      <c r="H13" s="8"/>
      <c r="I13" s="8"/>
      <c r="J13" s="8"/>
      <c r="K13" s="8"/>
      <c r="L13" s="11"/>
      <c r="M13" s="8"/>
      <c r="N13" s="10"/>
      <c r="O13" s="9"/>
      <c r="P13" s="12">
        <f t="shared" si="0"/>
        <v>1309.75</v>
      </c>
      <c r="Q13" s="9"/>
      <c r="R13" s="12">
        <f>P13/13</f>
        <v>100.75</v>
      </c>
      <c r="S13" s="9"/>
      <c r="T13" s="9"/>
      <c r="U13" s="9">
        <v>975</v>
      </c>
      <c r="V13" s="12">
        <f t="shared" si="1"/>
        <v>75</v>
      </c>
      <c r="W13" s="9"/>
      <c r="X13" s="9"/>
      <c r="Y13" s="12">
        <f t="shared" si="4"/>
        <v>2284.75</v>
      </c>
      <c r="Z13" s="12">
        <v>130</v>
      </c>
      <c r="AA13" s="12">
        <f t="shared" si="2"/>
        <v>10</v>
      </c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>
        <f t="shared" si="3"/>
        <v>16900</v>
      </c>
    </row>
    <row r="14" spans="1:43">
      <c r="A14" s="2">
        <f t="shared" si="5"/>
        <v>8</v>
      </c>
      <c r="B14" s="3" t="s">
        <v>61</v>
      </c>
      <c r="C14" s="4" t="s">
        <v>62</v>
      </c>
      <c r="D14" s="5" t="s">
        <v>45</v>
      </c>
      <c r="E14" s="6" t="s">
        <v>46</v>
      </c>
      <c r="F14" s="7" t="s">
        <v>47</v>
      </c>
      <c r="G14" s="8"/>
      <c r="H14" s="8"/>
      <c r="I14" s="8"/>
      <c r="J14" s="8"/>
      <c r="K14" s="8"/>
      <c r="L14" s="11"/>
      <c r="M14" s="8"/>
      <c r="N14" s="10"/>
      <c r="O14" s="9"/>
      <c r="P14" s="12">
        <f t="shared" si="0"/>
        <v>1309.75</v>
      </c>
      <c r="Q14" s="9">
        <f t="shared" si="6"/>
        <v>100.75</v>
      </c>
      <c r="R14" s="9"/>
      <c r="S14" s="9"/>
      <c r="T14" s="9"/>
      <c r="U14" s="9">
        <v>975</v>
      </c>
      <c r="V14" s="12">
        <f t="shared" si="1"/>
        <v>75</v>
      </c>
      <c r="W14" s="9"/>
      <c r="X14" s="9"/>
      <c r="Y14" s="12">
        <f t="shared" si="4"/>
        <v>2284.75</v>
      </c>
      <c r="Z14" s="12">
        <v>130</v>
      </c>
      <c r="AA14" s="12">
        <f t="shared" si="2"/>
        <v>10</v>
      </c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>
        <f t="shared" si="3"/>
        <v>16900</v>
      </c>
    </row>
    <row r="15" spans="1:43">
      <c r="A15" s="2">
        <f t="shared" si="5"/>
        <v>9</v>
      </c>
      <c r="B15" s="3" t="s">
        <v>63</v>
      </c>
      <c r="C15" s="4" t="s">
        <v>64</v>
      </c>
      <c r="D15" s="5" t="s">
        <v>45</v>
      </c>
      <c r="E15" s="6" t="s">
        <v>46</v>
      </c>
      <c r="F15" s="7" t="s">
        <v>47</v>
      </c>
      <c r="G15" s="8"/>
      <c r="H15" s="8"/>
      <c r="I15" s="8"/>
      <c r="J15" s="8"/>
      <c r="K15" s="8"/>
      <c r="L15" s="11"/>
      <c r="M15" s="8"/>
      <c r="N15" s="10"/>
      <c r="O15" s="9"/>
      <c r="P15" s="12">
        <f t="shared" si="0"/>
        <v>1309.75</v>
      </c>
      <c r="Q15" s="9">
        <f t="shared" si="6"/>
        <v>100.75</v>
      </c>
      <c r="R15" s="12"/>
      <c r="S15" s="9"/>
      <c r="T15" s="9"/>
      <c r="U15" s="9">
        <v>975</v>
      </c>
      <c r="V15" s="12">
        <f t="shared" si="1"/>
        <v>75</v>
      </c>
      <c r="W15" s="9"/>
      <c r="X15" s="9"/>
      <c r="Y15" s="12">
        <f t="shared" si="4"/>
        <v>2284.75</v>
      </c>
      <c r="Z15" s="12">
        <v>130</v>
      </c>
      <c r="AA15" s="12">
        <f t="shared" si="2"/>
        <v>10</v>
      </c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>
        <f t="shared" si="3"/>
        <v>16900</v>
      </c>
    </row>
    <row r="16" spans="1:43">
      <c r="A16" s="2">
        <f t="shared" si="5"/>
        <v>10</v>
      </c>
      <c r="B16" s="3" t="s">
        <v>65</v>
      </c>
      <c r="C16" s="4" t="s">
        <v>66</v>
      </c>
      <c r="D16" s="5" t="s">
        <v>45</v>
      </c>
      <c r="E16" s="6" t="s">
        <v>46</v>
      </c>
      <c r="F16" s="7" t="s">
        <v>47</v>
      </c>
      <c r="G16" s="8"/>
      <c r="H16" s="8"/>
      <c r="I16" s="8"/>
      <c r="J16" s="8"/>
      <c r="K16" s="8"/>
      <c r="L16" s="11"/>
      <c r="M16" s="8"/>
      <c r="N16" s="10"/>
      <c r="O16" s="9"/>
      <c r="P16" s="12">
        <f t="shared" si="0"/>
        <v>1309.75</v>
      </c>
      <c r="Q16" s="9">
        <f t="shared" si="6"/>
        <v>100.75</v>
      </c>
      <c r="R16" s="9"/>
      <c r="S16" s="9"/>
      <c r="T16" s="9"/>
      <c r="U16" s="9">
        <v>975</v>
      </c>
      <c r="V16" s="12">
        <f t="shared" si="1"/>
        <v>75</v>
      </c>
      <c r="W16" s="9"/>
      <c r="X16" s="9"/>
      <c r="Y16" s="12">
        <f t="shared" si="4"/>
        <v>2284.75</v>
      </c>
      <c r="Z16" s="12">
        <v>130</v>
      </c>
      <c r="AA16" s="12">
        <f t="shared" si="2"/>
        <v>10</v>
      </c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>
        <f t="shared" si="3"/>
        <v>16900</v>
      </c>
    </row>
    <row r="17" spans="1:43">
      <c r="A17" s="2">
        <f t="shared" si="5"/>
        <v>11</v>
      </c>
      <c r="B17" s="3" t="s">
        <v>67</v>
      </c>
      <c r="C17" s="4" t="s">
        <v>68</v>
      </c>
      <c r="D17" s="5" t="s">
        <v>45</v>
      </c>
      <c r="E17" s="6" t="s">
        <v>46</v>
      </c>
      <c r="F17" s="7" t="s">
        <v>47</v>
      </c>
      <c r="G17" s="8"/>
      <c r="H17" s="8"/>
      <c r="I17" s="8"/>
      <c r="J17" s="8"/>
      <c r="K17" s="8"/>
      <c r="L17" s="11"/>
      <c r="M17" s="8"/>
      <c r="N17" s="10"/>
      <c r="O17" s="9"/>
      <c r="P17" s="12">
        <f t="shared" si="0"/>
        <v>1309.75</v>
      </c>
      <c r="Q17" s="9"/>
      <c r="R17" s="12">
        <f>P17/13</f>
        <v>100.75</v>
      </c>
      <c r="S17" s="9"/>
      <c r="T17" s="9"/>
      <c r="U17" s="9">
        <v>975</v>
      </c>
      <c r="V17" s="12">
        <f t="shared" si="1"/>
        <v>75</v>
      </c>
      <c r="W17" s="9"/>
      <c r="X17" s="9"/>
      <c r="Y17" s="12">
        <f t="shared" si="4"/>
        <v>2284.75</v>
      </c>
      <c r="Z17" s="12">
        <v>130</v>
      </c>
      <c r="AA17" s="12">
        <f t="shared" si="2"/>
        <v>10</v>
      </c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>
        <f t="shared" si="3"/>
        <v>16900</v>
      </c>
    </row>
    <row r="18" spans="1:43">
      <c r="A18" s="2">
        <f t="shared" si="5"/>
        <v>12</v>
      </c>
      <c r="B18" s="3" t="s">
        <v>69</v>
      </c>
      <c r="C18" s="4" t="s">
        <v>70</v>
      </c>
      <c r="D18" s="5" t="s">
        <v>45</v>
      </c>
      <c r="E18" s="6" t="s">
        <v>46</v>
      </c>
      <c r="F18" s="7" t="s">
        <v>47</v>
      </c>
      <c r="G18" s="8"/>
      <c r="H18" s="8"/>
      <c r="I18" s="8"/>
      <c r="J18" s="8"/>
      <c r="K18" s="8"/>
      <c r="L18" s="11"/>
      <c r="M18" s="8"/>
      <c r="N18" s="10"/>
      <c r="O18" s="9"/>
      <c r="P18" s="12">
        <f t="shared" si="0"/>
        <v>1309.75</v>
      </c>
      <c r="Q18" s="9">
        <f t="shared" si="6"/>
        <v>100.75</v>
      </c>
      <c r="R18" s="9"/>
      <c r="S18" s="9"/>
      <c r="T18" s="9"/>
      <c r="U18" s="9">
        <v>975</v>
      </c>
      <c r="V18" s="12">
        <f t="shared" si="1"/>
        <v>75</v>
      </c>
      <c r="W18" s="9"/>
      <c r="X18" s="9"/>
      <c r="Y18" s="12">
        <f t="shared" si="4"/>
        <v>2284.75</v>
      </c>
      <c r="Z18" s="12">
        <v>130</v>
      </c>
      <c r="AA18" s="12">
        <f t="shared" si="2"/>
        <v>10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>
        <f t="shared" si="3"/>
        <v>16900</v>
      </c>
    </row>
    <row r="19" spans="1:43">
      <c r="A19" s="2">
        <f t="shared" si="5"/>
        <v>13</v>
      </c>
      <c r="B19" s="3" t="s">
        <v>71</v>
      </c>
      <c r="C19" s="4" t="s">
        <v>72</v>
      </c>
      <c r="D19" s="5" t="s">
        <v>45</v>
      </c>
      <c r="E19" s="6" t="s">
        <v>46</v>
      </c>
      <c r="F19" s="7" t="s">
        <v>47</v>
      </c>
      <c r="G19" s="8"/>
      <c r="H19" s="8"/>
      <c r="I19" s="8"/>
      <c r="J19" s="8"/>
      <c r="K19" s="8"/>
      <c r="L19" s="11"/>
      <c r="M19" s="8"/>
      <c r="N19" s="10"/>
      <c r="O19" s="9"/>
      <c r="P19" s="12">
        <f t="shared" si="0"/>
        <v>1309.75</v>
      </c>
      <c r="Q19" s="9">
        <f t="shared" si="6"/>
        <v>100.75</v>
      </c>
      <c r="R19" s="9"/>
      <c r="S19" s="9"/>
      <c r="T19" s="9"/>
      <c r="U19" s="9">
        <v>975</v>
      </c>
      <c r="V19" s="12">
        <f t="shared" si="1"/>
        <v>75</v>
      </c>
      <c r="W19" s="9"/>
      <c r="X19" s="9"/>
      <c r="Y19" s="12">
        <f t="shared" si="4"/>
        <v>2284.75</v>
      </c>
      <c r="Z19" s="12">
        <v>130</v>
      </c>
      <c r="AA19" s="12">
        <f t="shared" si="2"/>
        <v>10</v>
      </c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>
        <f t="shared" si="3"/>
        <v>16900</v>
      </c>
    </row>
    <row r="20" spans="1:43">
      <c r="A20" s="2">
        <f t="shared" si="5"/>
        <v>14</v>
      </c>
      <c r="B20" s="3" t="s">
        <v>73</v>
      </c>
      <c r="C20" s="4" t="s">
        <v>74</v>
      </c>
      <c r="D20" s="5" t="s">
        <v>45</v>
      </c>
      <c r="E20" s="6" t="s">
        <v>46</v>
      </c>
      <c r="F20" s="7" t="s">
        <v>47</v>
      </c>
      <c r="G20" s="8"/>
      <c r="H20" s="8"/>
      <c r="I20" s="8"/>
      <c r="J20" s="8"/>
      <c r="K20" s="8"/>
      <c r="L20" s="11"/>
      <c r="M20" s="8"/>
      <c r="N20" s="10"/>
      <c r="O20" s="9"/>
      <c r="P20" s="12">
        <f t="shared" si="0"/>
        <v>1309.75</v>
      </c>
      <c r="Q20" s="9"/>
      <c r="R20" s="12">
        <f>P20/13</f>
        <v>100.75</v>
      </c>
      <c r="S20" s="9"/>
      <c r="T20" s="9"/>
      <c r="U20" s="9">
        <v>975</v>
      </c>
      <c r="V20" s="12">
        <f t="shared" si="1"/>
        <v>75</v>
      </c>
      <c r="W20" s="9"/>
      <c r="X20" s="9"/>
      <c r="Y20" s="12">
        <f t="shared" si="4"/>
        <v>2284.75</v>
      </c>
      <c r="Z20" s="12">
        <v>130</v>
      </c>
      <c r="AA20" s="12">
        <f t="shared" si="2"/>
        <v>10</v>
      </c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>
        <f t="shared" si="3"/>
        <v>16900</v>
      </c>
    </row>
    <row r="21" spans="1:43">
      <c r="A21" s="14"/>
      <c r="B21" s="15"/>
      <c r="C21" s="16" t="s">
        <v>75</v>
      </c>
      <c r="D21" s="17"/>
      <c r="E21" s="6"/>
      <c r="F21" s="18"/>
      <c r="G21" s="9"/>
      <c r="H21" s="9"/>
      <c r="I21" s="9"/>
      <c r="J21" s="19">
        <f>SUM(J7:J20)</f>
        <v>10000</v>
      </c>
      <c r="K21" s="19">
        <f>SUM(K7:K20)</f>
        <v>3000</v>
      </c>
      <c r="L21" s="19"/>
      <c r="M21" s="9"/>
      <c r="N21" s="19"/>
      <c r="O21" s="19">
        <f t="shared" ref="O21:V21" si="7">SUM(O7:O20)</f>
        <v>9730</v>
      </c>
      <c r="P21" s="19">
        <f t="shared" si="7"/>
        <v>18336.5</v>
      </c>
      <c r="Q21" s="20">
        <f t="shared" si="7"/>
        <v>604.5</v>
      </c>
      <c r="R21" s="20">
        <f t="shared" si="7"/>
        <v>806</v>
      </c>
      <c r="S21" s="19">
        <f t="shared" si="7"/>
        <v>0</v>
      </c>
      <c r="T21" s="19">
        <f t="shared" si="7"/>
        <v>0</v>
      </c>
      <c r="U21" s="20">
        <f t="shared" si="7"/>
        <v>13650</v>
      </c>
      <c r="V21" s="20">
        <f t="shared" si="7"/>
        <v>1050</v>
      </c>
      <c r="W21" s="9"/>
      <c r="X21" s="9"/>
      <c r="Y21" s="20">
        <f>SUM(Y7:Y20)</f>
        <v>31986.5</v>
      </c>
      <c r="Z21" s="20">
        <f>SUM(Z7:Z20)</f>
        <v>1820</v>
      </c>
      <c r="AA21" s="20">
        <f>SUM(AA7:AA20)</f>
        <v>140</v>
      </c>
      <c r="AB21" s="9"/>
      <c r="AC21" s="9"/>
      <c r="AD21" s="9"/>
      <c r="AE21" s="9"/>
      <c r="AF21" s="9"/>
      <c r="AG21" s="9"/>
      <c r="AH21" s="9"/>
      <c r="AI21" s="9"/>
      <c r="AJ21" s="9"/>
      <c r="AK21" s="19">
        <f>AK7</f>
        <v>15915.89</v>
      </c>
      <c r="AL21" s="19">
        <f>AL7</f>
        <v>110000</v>
      </c>
      <c r="AM21" s="19">
        <f>AM7</f>
        <v>27900</v>
      </c>
      <c r="AN21" s="19">
        <f>AN7</f>
        <v>9500</v>
      </c>
      <c r="AO21" s="19">
        <f>AO7</f>
        <v>42722.82</v>
      </c>
      <c r="AP21" s="19">
        <f>SUM(AP7:AP20)</f>
        <v>20000</v>
      </c>
      <c r="AQ21" s="19">
        <f>SUM(AQ7:AQ20)</f>
        <v>236600</v>
      </c>
    </row>
    <row r="22" spans="1:43">
      <c r="A22" s="21">
        <v>1</v>
      </c>
      <c r="B22" s="22" t="s">
        <v>76</v>
      </c>
      <c r="C22" s="25" t="s">
        <v>77</v>
      </c>
      <c r="D22" s="83" t="s">
        <v>78</v>
      </c>
      <c r="E22" s="84" t="s">
        <v>79</v>
      </c>
      <c r="F22" s="85" t="s">
        <v>47</v>
      </c>
      <c r="G22" s="26">
        <v>3850</v>
      </c>
      <c r="H22" s="12">
        <f>G22*12</f>
        <v>46200</v>
      </c>
      <c r="I22" s="12">
        <v>60</v>
      </c>
      <c r="J22" s="12">
        <v>4000</v>
      </c>
      <c r="K22" s="12">
        <f>G22</f>
        <v>3850</v>
      </c>
      <c r="L22" s="12">
        <v>300</v>
      </c>
      <c r="M22" s="12">
        <v>2000</v>
      </c>
      <c r="N22" s="24">
        <v>125</v>
      </c>
      <c r="O22" s="24"/>
      <c r="P22" s="12">
        <f>G22*0.0775*13</f>
        <v>3878.875</v>
      </c>
      <c r="Q22" s="12">
        <f>P22/13</f>
        <v>298.375</v>
      </c>
      <c r="S22" s="12"/>
      <c r="T22" s="12"/>
      <c r="U22" s="12">
        <f>75*13</f>
        <v>975</v>
      </c>
      <c r="V22" s="12">
        <f>U22/13</f>
        <v>75</v>
      </c>
      <c r="W22" s="12"/>
      <c r="X22" s="12"/>
      <c r="Y22" s="12">
        <f>P22+S22+U22+W22</f>
        <v>4853.875</v>
      </c>
      <c r="Z22" s="12">
        <v>130</v>
      </c>
      <c r="AA22" s="12">
        <f>Z22/13</f>
        <v>10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>
      <c r="A23" s="21">
        <f>A22+1</f>
        <v>2</v>
      </c>
      <c r="B23" s="25" t="s">
        <v>80</v>
      </c>
      <c r="C23" s="25" t="s">
        <v>81</v>
      </c>
      <c r="D23" s="83" t="s">
        <v>78</v>
      </c>
      <c r="E23" s="84" t="s">
        <v>79</v>
      </c>
      <c r="F23" s="85" t="s">
        <v>47</v>
      </c>
      <c r="G23" s="26">
        <v>500</v>
      </c>
      <c r="H23" s="12">
        <f>G23*12</f>
        <v>6000</v>
      </c>
      <c r="I23" s="12">
        <v>60</v>
      </c>
      <c r="J23" s="12"/>
      <c r="K23" s="12">
        <f>G23</f>
        <v>500</v>
      </c>
      <c r="L23" s="12">
        <v>300</v>
      </c>
      <c r="M23" s="12"/>
      <c r="N23" s="24">
        <v>125</v>
      </c>
      <c r="O23" s="24"/>
      <c r="P23" s="12">
        <f>G23*0.0775*13</f>
        <v>503.75</v>
      </c>
      <c r="Q23" s="26"/>
      <c r="R23" s="12">
        <f>P23/13</f>
        <v>38.75</v>
      </c>
      <c r="S23" s="12"/>
      <c r="T23" s="12"/>
      <c r="U23" s="12">
        <f>G23*0.075*13</f>
        <v>487.5</v>
      </c>
      <c r="V23" s="12">
        <f>U23/13</f>
        <v>37.5</v>
      </c>
      <c r="W23" s="12"/>
      <c r="X23" s="12"/>
      <c r="Y23" s="12">
        <f>P23+S23+U23+W23</f>
        <v>991.25</v>
      </c>
      <c r="Z23" s="12">
        <f>G23*0.01*13</f>
        <v>65</v>
      </c>
      <c r="AA23" s="12">
        <f>Z23/13</f>
        <v>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>
      <c r="A24" s="21">
        <f>A23+1</f>
        <v>3</v>
      </c>
      <c r="B24" s="25" t="s">
        <v>82</v>
      </c>
      <c r="C24" s="25" t="s">
        <v>83</v>
      </c>
      <c r="D24" s="83" t="s">
        <v>78</v>
      </c>
      <c r="E24" s="84" t="s">
        <v>79</v>
      </c>
      <c r="F24" s="85" t="s">
        <v>47</v>
      </c>
      <c r="G24" s="26">
        <v>500</v>
      </c>
      <c r="H24" s="12">
        <f>G24*12</f>
        <v>6000</v>
      </c>
      <c r="I24" s="12">
        <v>60</v>
      </c>
      <c r="J24" s="12"/>
      <c r="K24" s="12">
        <f>G24</f>
        <v>500</v>
      </c>
      <c r="L24" s="12">
        <v>300</v>
      </c>
      <c r="M24" s="12"/>
      <c r="N24" s="24">
        <v>125</v>
      </c>
      <c r="O24" s="24"/>
      <c r="P24" s="12">
        <f>G24*0.0775*13</f>
        <v>503.75</v>
      </c>
      <c r="Q24" s="12">
        <f>P24/13</f>
        <v>38.75</v>
      </c>
      <c r="R24" s="12"/>
      <c r="S24" s="12"/>
      <c r="T24" s="12"/>
      <c r="U24" s="12">
        <f>G24*0.075*13</f>
        <v>487.5</v>
      </c>
      <c r="V24" s="12">
        <f>U24/13</f>
        <v>37.5</v>
      </c>
      <c r="W24" s="12"/>
      <c r="X24" s="12"/>
      <c r="Y24" s="12">
        <f>P24+S24+U24+W24</f>
        <v>991.25</v>
      </c>
      <c r="Z24" s="12">
        <f>G24*0.01*13</f>
        <v>65</v>
      </c>
      <c r="AA24" s="12">
        <f>Z24/13</f>
        <v>5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>
      <c r="A25" s="21">
        <f>A24+1</f>
        <v>4</v>
      </c>
      <c r="B25" s="27" t="s">
        <v>84</v>
      </c>
      <c r="C25" s="25" t="s">
        <v>85</v>
      </c>
      <c r="D25" s="83" t="s">
        <v>78</v>
      </c>
      <c r="E25" s="84" t="s">
        <v>79</v>
      </c>
      <c r="F25" s="85" t="s">
        <v>47</v>
      </c>
      <c r="G25" s="26">
        <f>467+30+50</f>
        <v>547</v>
      </c>
      <c r="H25" s="12">
        <f>G25*12</f>
        <v>6564</v>
      </c>
      <c r="I25" s="12">
        <v>60</v>
      </c>
      <c r="J25" s="12"/>
      <c r="K25" s="12">
        <f>G25</f>
        <v>547</v>
      </c>
      <c r="L25" s="12">
        <v>300</v>
      </c>
      <c r="M25" s="12"/>
      <c r="N25" s="24">
        <v>125</v>
      </c>
      <c r="O25" s="24"/>
      <c r="P25" s="12">
        <f>G25*0.0775*13</f>
        <v>551.10249999999996</v>
      </c>
      <c r="Q25" s="26">
        <f>P25/13</f>
        <v>42.392499999999998</v>
      </c>
      <c r="S25" s="12"/>
      <c r="T25" s="12"/>
      <c r="U25" s="12">
        <f>G25*0.075*13</f>
        <v>533.32499999999993</v>
      </c>
      <c r="V25" s="12">
        <f>U25/13</f>
        <v>41.024999999999991</v>
      </c>
      <c r="W25" s="12"/>
      <c r="X25" s="12"/>
      <c r="Y25" s="12">
        <f>P25+S25+U25+W25</f>
        <v>1084.4274999999998</v>
      </c>
      <c r="Z25" s="12">
        <f>G25*0.01*13</f>
        <v>71.11</v>
      </c>
      <c r="AA25" s="12">
        <f>Z25/13</f>
        <v>5.47</v>
      </c>
      <c r="AB25" s="12">
        <f>G25/30/7*1.5*45</f>
        <v>175.82142857142858</v>
      </c>
      <c r="AC25" s="12"/>
      <c r="AD25" s="12"/>
      <c r="AE25" s="12">
        <f>AB25*0.0775</f>
        <v>13.626160714285716</v>
      </c>
      <c r="AF25" s="12"/>
      <c r="AG25" s="12">
        <f>AB25*0.075</f>
        <v>13.186607142857143</v>
      </c>
      <c r="AH25" s="12"/>
      <c r="AI25" s="12">
        <f>AE25+AF25+AG25+AH25+0.01</f>
        <v>26.82276785714286</v>
      </c>
      <c r="AJ25" s="12">
        <f>AB25*0.01</f>
        <v>1.758214285714286</v>
      </c>
      <c r="AK25" s="12"/>
      <c r="AL25" s="12"/>
      <c r="AM25" s="12"/>
      <c r="AN25" s="12"/>
      <c r="AO25" s="12"/>
      <c r="AP25" s="12"/>
      <c r="AQ25" s="12"/>
    </row>
    <row r="26" spans="1:43">
      <c r="A26" s="28"/>
      <c r="B26" s="15"/>
      <c r="C26" s="86" t="s">
        <v>86</v>
      </c>
      <c r="D26" s="83"/>
      <c r="E26" s="84"/>
      <c r="F26" s="85"/>
      <c r="G26" s="87">
        <f t="shared" ref="G26:N26" si="8">SUM(G22:G25)</f>
        <v>5397</v>
      </c>
      <c r="H26" s="30">
        <f t="shared" si="8"/>
        <v>64764</v>
      </c>
      <c r="I26" s="30">
        <f t="shared" si="8"/>
        <v>240</v>
      </c>
      <c r="J26" s="30">
        <f t="shared" si="8"/>
        <v>4000</v>
      </c>
      <c r="K26" s="30">
        <f t="shared" si="8"/>
        <v>5397</v>
      </c>
      <c r="L26" s="30">
        <f t="shared" si="8"/>
        <v>1200</v>
      </c>
      <c r="M26" s="20">
        <f t="shared" si="8"/>
        <v>2000</v>
      </c>
      <c r="N26" s="31">
        <f t="shared" si="8"/>
        <v>500</v>
      </c>
      <c r="O26" s="31"/>
      <c r="P26" s="20">
        <f t="shared" ref="P26:V26" si="9">SUM(P22:P25)</f>
        <v>5437.4775</v>
      </c>
      <c r="Q26" s="20">
        <f t="shared" si="9"/>
        <v>379.51749999999998</v>
      </c>
      <c r="R26" s="20">
        <f t="shared" si="9"/>
        <v>38.75</v>
      </c>
      <c r="S26" s="12">
        <f t="shared" si="9"/>
        <v>0</v>
      </c>
      <c r="T26" s="12">
        <f t="shared" si="9"/>
        <v>0</v>
      </c>
      <c r="U26" s="20">
        <f t="shared" si="9"/>
        <v>2483.3249999999998</v>
      </c>
      <c r="V26" s="20">
        <f t="shared" si="9"/>
        <v>191.02499999999998</v>
      </c>
      <c r="W26" s="12"/>
      <c r="X26" s="12"/>
      <c r="Y26" s="20">
        <f>SUM(Y22:Y25)+0.01</f>
        <v>7920.8125</v>
      </c>
      <c r="Z26" s="20">
        <f>SUM(Z22:Z25)</f>
        <v>331.11</v>
      </c>
      <c r="AA26" s="20">
        <f>SUM(AA22:AA25)</f>
        <v>25.47</v>
      </c>
      <c r="AB26" s="20">
        <f>SUM(AB22:AB25)</f>
        <v>175.82142857142858</v>
      </c>
      <c r="AC26" s="12"/>
      <c r="AD26" s="12"/>
      <c r="AE26" s="20">
        <f>SUM(AE22:AE25)</f>
        <v>13.626160714285716</v>
      </c>
      <c r="AF26" s="12"/>
      <c r="AG26" s="20">
        <f>SUM(AG22:AG25)</f>
        <v>13.186607142857143</v>
      </c>
      <c r="AH26" s="12"/>
      <c r="AI26" s="20">
        <f>SUM(AI22:AI25)</f>
        <v>26.82276785714286</v>
      </c>
      <c r="AJ26" s="20">
        <f>SUM(AJ22:AJ25)</f>
        <v>1.758214285714286</v>
      </c>
      <c r="AK26" s="20"/>
      <c r="AL26" s="20"/>
      <c r="AM26" s="20"/>
      <c r="AN26" s="20"/>
      <c r="AO26" s="20"/>
      <c r="AP26" s="20"/>
      <c r="AQ26" s="20"/>
    </row>
    <row r="27" spans="1:43" ht="31.5" customHeight="1">
      <c r="A27" s="21">
        <f>A25+1</f>
        <v>5</v>
      </c>
      <c r="B27" s="25" t="s">
        <v>87</v>
      </c>
      <c r="C27" s="25" t="s">
        <v>88</v>
      </c>
      <c r="D27" s="83" t="s">
        <v>89</v>
      </c>
      <c r="E27" s="84" t="s">
        <v>79</v>
      </c>
      <c r="F27" s="85" t="s">
        <v>47</v>
      </c>
      <c r="G27" s="26">
        <v>700</v>
      </c>
      <c r="H27" s="32">
        <f>G27*12</f>
        <v>8400</v>
      </c>
      <c r="I27" s="32">
        <v>60</v>
      </c>
      <c r="J27" s="32"/>
      <c r="K27" s="32">
        <f>G27</f>
        <v>700</v>
      </c>
      <c r="L27" s="32">
        <v>300</v>
      </c>
      <c r="M27" s="26"/>
      <c r="N27" s="33">
        <v>125</v>
      </c>
      <c r="O27" s="33"/>
      <c r="P27" s="26">
        <f>G27*0.0775*13</f>
        <v>705.25</v>
      </c>
      <c r="Q27" s="34">
        <f>P27/13</f>
        <v>54.25</v>
      </c>
      <c r="R27" s="26"/>
      <c r="S27" s="26"/>
      <c r="T27" s="26"/>
      <c r="U27" s="26">
        <f>G27*0.075*13</f>
        <v>682.5</v>
      </c>
      <c r="V27" s="26">
        <f>U27/13</f>
        <v>52.5</v>
      </c>
      <c r="W27" s="26"/>
      <c r="X27" s="26"/>
      <c r="Y27" s="26">
        <f>P27+S27+U27+W27</f>
        <v>1387.75</v>
      </c>
      <c r="Z27" s="26">
        <f>G27*0.01*13</f>
        <v>91</v>
      </c>
      <c r="AA27" s="26">
        <f>Z27/13</f>
        <v>7</v>
      </c>
      <c r="AB27" s="26"/>
      <c r="AC27" s="26"/>
      <c r="AD27" s="26"/>
      <c r="AE27" s="26"/>
      <c r="AF27" s="26"/>
      <c r="AG27" s="26"/>
      <c r="AH27" s="26"/>
      <c r="AI27" s="26"/>
      <c r="AJ27" s="12"/>
      <c r="AK27" s="12"/>
      <c r="AL27" s="12"/>
      <c r="AM27" s="12"/>
      <c r="AN27" s="12"/>
      <c r="AO27" s="12"/>
      <c r="AP27" s="12"/>
      <c r="AQ27" s="12"/>
    </row>
    <row r="28" spans="1:43" ht="24.75">
      <c r="A28" s="21">
        <f>A27+1</f>
        <v>6</v>
      </c>
      <c r="B28" s="45" t="s">
        <v>90</v>
      </c>
      <c r="C28" s="56" t="s">
        <v>91</v>
      </c>
      <c r="D28" s="83" t="s">
        <v>89</v>
      </c>
      <c r="E28" s="84" t="s">
        <v>79</v>
      </c>
      <c r="F28" s="85" t="s">
        <v>47</v>
      </c>
      <c r="G28" s="26">
        <f>547</f>
        <v>547</v>
      </c>
      <c r="H28" s="32">
        <f>G28*12</f>
        <v>6564</v>
      </c>
      <c r="I28" s="32">
        <v>60</v>
      </c>
      <c r="J28" s="32"/>
      <c r="K28" s="32">
        <f>G28</f>
        <v>547</v>
      </c>
      <c r="L28" s="32">
        <v>300</v>
      </c>
      <c r="M28" s="12"/>
      <c r="N28" s="24">
        <v>125</v>
      </c>
      <c r="O28" s="24"/>
      <c r="P28" s="12">
        <f>G28*0.0775*13</f>
        <v>551.10249999999996</v>
      </c>
      <c r="Q28" s="34">
        <f>P28/13</f>
        <v>42.392499999999998</v>
      </c>
      <c r="R28" s="12"/>
      <c r="S28" s="12"/>
      <c r="T28" s="12"/>
      <c r="U28" s="12">
        <f>G28*0.075*13</f>
        <v>533.32499999999993</v>
      </c>
      <c r="V28" s="12">
        <f>U28/13</f>
        <v>41.024999999999991</v>
      </c>
      <c r="W28" s="12"/>
      <c r="X28" s="12"/>
      <c r="Y28" s="12">
        <f>P28+S28+U28+W28</f>
        <v>1084.4274999999998</v>
      </c>
      <c r="Z28" s="12">
        <f>G28*0.01*13</f>
        <v>71.11</v>
      </c>
      <c r="AA28" s="12">
        <f>Z28/13</f>
        <v>5.47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ht="24.75">
      <c r="A29" s="21">
        <f>A28+1</f>
        <v>7</v>
      </c>
      <c r="B29" s="15" t="s">
        <v>92</v>
      </c>
      <c r="C29" s="56" t="s">
        <v>93</v>
      </c>
      <c r="D29" s="83" t="s">
        <v>89</v>
      </c>
      <c r="E29" s="84" t="s">
        <v>79</v>
      </c>
      <c r="F29" s="85" t="s">
        <v>47</v>
      </c>
      <c r="G29" s="26">
        <f>547</f>
        <v>547</v>
      </c>
      <c r="H29" s="32">
        <f>G29*12</f>
        <v>6564</v>
      </c>
      <c r="I29" s="32">
        <v>60</v>
      </c>
      <c r="J29" s="32"/>
      <c r="K29" s="32">
        <f>G29</f>
        <v>547</v>
      </c>
      <c r="L29" s="32">
        <v>300</v>
      </c>
      <c r="M29" s="12"/>
      <c r="N29" s="24">
        <v>125</v>
      </c>
      <c r="O29" s="24"/>
      <c r="P29" s="12">
        <f>G29*0.0775*13</f>
        <v>551.10249999999996</v>
      </c>
      <c r="Q29" s="34">
        <f>P29/13</f>
        <v>42.392499999999998</v>
      </c>
      <c r="R29" s="12"/>
      <c r="S29" s="12"/>
      <c r="T29" s="12"/>
      <c r="U29" s="12">
        <f>G29*0.075*13</f>
        <v>533.32499999999993</v>
      </c>
      <c r="V29" s="12">
        <f>U29/13</f>
        <v>41.024999999999991</v>
      </c>
      <c r="W29" s="12"/>
      <c r="X29" s="12"/>
      <c r="Y29" s="12">
        <f>P29+S29+U29+W29</f>
        <v>1084.4274999999998</v>
      </c>
      <c r="Z29" s="12">
        <f>G29*0.01*13</f>
        <v>71.11</v>
      </c>
      <c r="AA29" s="12">
        <f>Z29/13</f>
        <v>5.47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>
      <c r="A30" s="21"/>
      <c r="B30" s="35"/>
      <c r="C30" s="86" t="s">
        <v>94</v>
      </c>
      <c r="D30" s="83"/>
      <c r="E30" s="84"/>
      <c r="F30" s="85"/>
      <c r="G30" s="87">
        <f>SUM(G27:G29)</f>
        <v>1794</v>
      </c>
      <c r="H30" s="30">
        <f>SUM(H27:H29)</f>
        <v>21528</v>
      </c>
      <c r="I30" s="30">
        <f>SUM(I27:I29)</f>
        <v>180</v>
      </c>
      <c r="J30" s="30">
        <f>SUM(J29)</f>
        <v>0</v>
      </c>
      <c r="K30" s="30">
        <f>SUM(K27:K29)</f>
        <v>1794</v>
      </c>
      <c r="L30" s="30">
        <f>SUM(L27:L29)</f>
        <v>900</v>
      </c>
      <c r="M30" s="20">
        <f>SUM(M29)</f>
        <v>0</v>
      </c>
      <c r="N30" s="20">
        <f>SUM(N27:N29)</f>
        <v>375</v>
      </c>
      <c r="O30" s="20">
        <f>SUM(O29)</f>
        <v>0</v>
      </c>
      <c r="P30" s="20">
        <f>SUM(P27:P29)-0.01</f>
        <v>1807.4449999999999</v>
      </c>
      <c r="Q30" s="20">
        <f>SUM(Q27:Q29)-0.01</f>
        <v>139.02500000000001</v>
      </c>
      <c r="R30" s="20">
        <f>SUM(R27:R29)</f>
        <v>0</v>
      </c>
      <c r="S30" s="20">
        <f>SUM(S27:S29)</f>
        <v>0</v>
      </c>
      <c r="T30" s="20">
        <f>SUM(T27:T29)</f>
        <v>0</v>
      </c>
      <c r="U30" s="20">
        <f>SUM(U27:U29)+0.01</f>
        <v>1749.1599999999996</v>
      </c>
      <c r="V30" s="20">
        <f>SUM(V27:V29)+0.01</f>
        <v>134.55999999999997</v>
      </c>
      <c r="W30" s="20">
        <f>SUM(W29)</f>
        <v>0</v>
      </c>
      <c r="X30" s="20">
        <f>SUM(X29)</f>
        <v>0</v>
      </c>
      <c r="Y30" s="20">
        <f>SUM(Y27:Y29)</f>
        <v>3556.6049999999996</v>
      </c>
      <c r="Z30" s="20">
        <f>SUM(Z27:Z29)</f>
        <v>233.22000000000003</v>
      </c>
      <c r="AA30" s="20">
        <f>SUM(AA27:AA29)</f>
        <v>17.939999999999998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20"/>
      <c r="AN30" s="20"/>
      <c r="AO30" s="20"/>
      <c r="AP30" s="12"/>
      <c r="AQ30" s="12"/>
    </row>
    <row r="31" spans="1:43" ht="24.75">
      <c r="A31" s="21">
        <f>A29+1</f>
        <v>8</v>
      </c>
      <c r="B31" s="27" t="s">
        <v>95</v>
      </c>
      <c r="C31" s="25" t="s">
        <v>96</v>
      </c>
      <c r="D31" s="83" t="s">
        <v>97</v>
      </c>
      <c r="E31" s="84" t="s">
        <v>79</v>
      </c>
      <c r="F31" s="85" t="s">
        <v>47</v>
      </c>
      <c r="G31" s="26">
        <f>467+30+50</f>
        <v>547</v>
      </c>
      <c r="H31" s="32">
        <f>G31*12</f>
        <v>6564</v>
      </c>
      <c r="I31" s="32">
        <v>60</v>
      </c>
      <c r="J31" s="36"/>
      <c r="K31" s="32">
        <f>G31</f>
        <v>547</v>
      </c>
      <c r="L31" s="32">
        <v>300</v>
      </c>
      <c r="M31" s="37"/>
      <c r="N31" s="24">
        <v>125</v>
      </c>
      <c r="O31" s="24"/>
      <c r="P31" s="12">
        <f>G31*0.0775*13</f>
        <v>551.10249999999996</v>
      </c>
      <c r="Q31" s="9">
        <f>P31/13</f>
        <v>42.392499999999998</v>
      </c>
      <c r="R31" s="12"/>
      <c r="S31" s="12"/>
      <c r="T31" s="12"/>
      <c r="U31" s="12">
        <f>G31*0.075*13</f>
        <v>533.32499999999993</v>
      </c>
      <c r="V31" s="12">
        <f>U31/13</f>
        <v>41.024999999999991</v>
      </c>
      <c r="W31" s="12"/>
      <c r="X31" s="12"/>
      <c r="Y31" s="12">
        <f>P31+S31+U31+W31</f>
        <v>1084.4274999999998</v>
      </c>
      <c r="Z31" s="12">
        <f>G31*0.01*13</f>
        <v>71.11</v>
      </c>
      <c r="AA31" s="12">
        <f>Z31/13</f>
        <v>5.47</v>
      </c>
      <c r="AB31" s="38"/>
      <c r="AC31" s="38"/>
      <c r="AD31" s="38"/>
      <c r="AE31" s="38"/>
      <c r="AF31" s="37"/>
      <c r="AG31" s="38"/>
      <c r="AH31" s="37"/>
      <c r="AI31" s="12"/>
      <c r="AJ31" s="38"/>
      <c r="AK31" s="38"/>
      <c r="AL31" s="38"/>
      <c r="AM31" s="12"/>
      <c r="AN31" s="12"/>
      <c r="AO31" s="12"/>
      <c r="AP31" s="38"/>
      <c r="AQ31" s="37"/>
    </row>
    <row r="32" spans="1:43">
      <c r="A32" s="21"/>
      <c r="B32" s="35"/>
      <c r="C32" s="86" t="s">
        <v>98</v>
      </c>
      <c r="D32" s="83"/>
      <c r="E32" s="84"/>
      <c r="F32" s="85"/>
      <c r="G32" s="87">
        <f>SUM(G31)</f>
        <v>547</v>
      </c>
      <c r="H32" s="30">
        <f>SUM(H31)</f>
        <v>6564</v>
      </c>
      <c r="I32" s="30">
        <f>SUM(I31)</f>
        <v>60</v>
      </c>
      <c r="J32" s="36"/>
      <c r="K32" s="30">
        <f>SUM(K31)</f>
        <v>547</v>
      </c>
      <c r="L32" s="30">
        <f>SUM(L31)</f>
        <v>300</v>
      </c>
      <c r="M32" s="37"/>
      <c r="N32" s="31">
        <f>SUM(N31)</f>
        <v>125</v>
      </c>
      <c r="O32" s="31"/>
      <c r="P32" s="20">
        <f>SUM(P31)</f>
        <v>551.10249999999996</v>
      </c>
      <c r="Q32" s="20">
        <f>SUM(Q31)</f>
        <v>42.392499999999998</v>
      </c>
      <c r="R32" s="20">
        <f>SUM(R31)</f>
        <v>0</v>
      </c>
      <c r="S32" s="12">
        <f>SUM(S31)</f>
        <v>0</v>
      </c>
      <c r="T32" s="12"/>
      <c r="U32" s="20">
        <f>SUM(U31)</f>
        <v>533.32499999999993</v>
      </c>
      <c r="V32" s="20">
        <f>SUM(V31)</f>
        <v>41.024999999999991</v>
      </c>
      <c r="W32" s="12"/>
      <c r="X32" s="12"/>
      <c r="Y32" s="20">
        <f>SUM(Y31)</f>
        <v>1084.4274999999998</v>
      </c>
      <c r="Z32" s="20">
        <f>SUM(Z31)</f>
        <v>71.11</v>
      </c>
      <c r="AA32" s="20">
        <f>AA31</f>
        <v>5.47</v>
      </c>
      <c r="AB32" s="38"/>
      <c r="AC32" s="38"/>
      <c r="AD32" s="38"/>
      <c r="AE32" s="38"/>
      <c r="AF32" s="37"/>
      <c r="AG32" s="38"/>
      <c r="AH32" s="37"/>
      <c r="AI32" s="12"/>
      <c r="AJ32" s="38"/>
      <c r="AK32" s="38"/>
      <c r="AL32" s="38"/>
      <c r="AM32" s="39"/>
      <c r="AN32" s="39"/>
      <c r="AO32" s="39"/>
      <c r="AP32" s="38"/>
      <c r="AQ32" s="37"/>
    </row>
    <row r="33" spans="1:43" ht="50.25" customHeight="1">
      <c r="A33" s="21">
        <f>A31+1</f>
        <v>9</v>
      </c>
      <c r="B33" s="27" t="s">
        <v>99</v>
      </c>
      <c r="C33" s="25" t="s">
        <v>100</v>
      </c>
      <c r="D33" s="88" t="s">
        <v>101</v>
      </c>
      <c r="E33" s="84" t="s">
        <v>79</v>
      </c>
      <c r="F33" s="85" t="s">
        <v>47</v>
      </c>
      <c r="G33" s="26">
        <v>650</v>
      </c>
      <c r="H33" s="32">
        <f>G33*12</f>
        <v>7800</v>
      </c>
      <c r="I33" s="32">
        <v>60</v>
      </c>
      <c r="J33" s="36"/>
      <c r="K33" s="32">
        <f>G33</f>
        <v>650</v>
      </c>
      <c r="L33" s="32">
        <v>300</v>
      </c>
      <c r="M33" s="37"/>
      <c r="N33" s="24">
        <v>125</v>
      </c>
      <c r="O33" s="24"/>
      <c r="P33" s="12">
        <f>G33*0.0775*13</f>
        <v>654.875</v>
      </c>
      <c r="Q33" s="40"/>
      <c r="R33" s="12">
        <f>P33/13</f>
        <v>50.375</v>
      </c>
      <c r="S33" s="12"/>
      <c r="T33" s="12"/>
      <c r="U33" s="12">
        <f>G33*0.075*13</f>
        <v>633.75</v>
      </c>
      <c r="V33" s="12">
        <f>U33/13</f>
        <v>48.75</v>
      </c>
      <c r="W33" s="12"/>
      <c r="X33" s="12"/>
      <c r="Y33" s="12">
        <f>P33+S33+U33+W33</f>
        <v>1288.625</v>
      </c>
      <c r="Z33" s="12">
        <f>G33*0.01*13</f>
        <v>84.5</v>
      </c>
      <c r="AA33" s="12">
        <f t="shared" ref="AA33:AA40" si="10">Z33/13</f>
        <v>6.5</v>
      </c>
      <c r="AB33" s="38"/>
      <c r="AC33" s="38"/>
      <c r="AD33" s="38"/>
      <c r="AE33" s="38"/>
      <c r="AF33" s="37"/>
      <c r="AG33" s="38"/>
      <c r="AH33" s="37"/>
      <c r="AI33" s="12"/>
      <c r="AJ33" s="38"/>
      <c r="AK33" s="38"/>
      <c r="AL33" s="38"/>
      <c r="AM33" s="12"/>
      <c r="AN33" s="12"/>
      <c r="AO33" s="12"/>
      <c r="AP33" s="38"/>
      <c r="AQ33" s="37"/>
    </row>
    <row r="34" spans="1:43" ht="34.5">
      <c r="A34" s="21">
        <f>A33+1</f>
        <v>10</v>
      </c>
      <c r="B34" s="27" t="s">
        <v>102</v>
      </c>
      <c r="C34" s="25" t="s">
        <v>103</v>
      </c>
      <c r="D34" s="88" t="s">
        <v>101</v>
      </c>
      <c r="E34" s="84" t="s">
        <v>79</v>
      </c>
      <c r="F34" s="85" t="s">
        <v>47</v>
      </c>
      <c r="G34" s="26">
        <f>547+30+50</f>
        <v>627</v>
      </c>
      <c r="H34" s="32">
        <f>G34*12</f>
        <v>7524</v>
      </c>
      <c r="I34" s="32">
        <v>60</v>
      </c>
      <c r="J34" s="36"/>
      <c r="K34" s="32">
        <f>G34</f>
        <v>627</v>
      </c>
      <c r="L34" s="32">
        <v>300</v>
      </c>
      <c r="M34" s="37"/>
      <c r="N34" s="24">
        <v>125</v>
      </c>
      <c r="O34" s="24"/>
      <c r="P34" s="12">
        <f>G34*0.0775*13</f>
        <v>631.70249999999999</v>
      </c>
      <c r="Q34" s="9">
        <f>P34/13</f>
        <v>48.592500000000001</v>
      </c>
      <c r="R34" s="12"/>
      <c r="S34" s="12"/>
      <c r="T34" s="12"/>
      <c r="U34" s="12">
        <f>G34*0.075*13</f>
        <v>611.32499999999993</v>
      </c>
      <c r="V34" s="12">
        <f>U34/13</f>
        <v>47.024999999999991</v>
      </c>
      <c r="W34" s="12"/>
      <c r="X34" s="12"/>
      <c r="Y34" s="12">
        <f>P34+S34+U34+W34</f>
        <v>1243.0274999999999</v>
      </c>
      <c r="Z34" s="12">
        <f>G34*0.01*13</f>
        <v>81.510000000000005</v>
      </c>
      <c r="AA34" s="12">
        <f t="shared" si="10"/>
        <v>6.2700000000000005</v>
      </c>
      <c r="AB34" s="38"/>
      <c r="AC34" s="38"/>
      <c r="AD34" s="38"/>
      <c r="AE34" s="38"/>
      <c r="AF34" s="37"/>
      <c r="AG34" s="38"/>
      <c r="AH34" s="37"/>
      <c r="AI34" s="12"/>
      <c r="AJ34" s="38"/>
      <c r="AK34" s="38"/>
      <c r="AL34" s="38"/>
      <c r="AM34" s="12"/>
      <c r="AN34" s="12"/>
      <c r="AO34" s="12"/>
      <c r="AP34" s="38"/>
      <c r="AQ34" s="37"/>
    </row>
    <row r="35" spans="1:43">
      <c r="A35" s="21"/>
      <c r="B35" s="27"/>
      <c r="C35" s="86" t="s">
        <v>620</v>
      </c>
      <c r="D35" s="88"/>
      <c r="E35" s="84"/>
      <c r="F35" s="85"/>
      <c r="G35" s="87">
        <f>SUM(G33:G34)</f>
        <v>1277</v>
      </c>
      <c r="H35" s="87">
        <f t="shared" ref="H35:AQ35" si="11">SUM(H33:H34)</f>
        <v>15324</v>
      </c>
      <c r="I35" s="87">
        <f t="shared" si="11"/>
        <v>120</v>
      </c>
      <c r="J35" s="87">
        <f t="shared" si="11"/>
        <v>0</v>
      </c>
      <c r="K35" s="87">
        <f t="shared" si="11"/>
        <v>1277</v>
      </c>
      <c r="L35" s="87">
        <f t="shared" si="11"/>
        <v>600</v>
      </c>
      <c r="M35" s="87">
        <f t="shared" si="11"/>
        <v>0</v>
      </c>
      <c r="N35" s="87">
        <f t="shared" si="11"/>
        <v>250</v>
      </c>
      <c r="O35" s="87">
        <f t="shared" si="11"/>
        <v>0</v>
      </c>
      <c r="P35" s="87">
        <f t="shared" si="11"/>
        <v>1286.5774999999999</v>
      </c>
      <c r="Q35" s="87">
        <f t="shared" si="11"/>
        <v>48.592500000000001</v>
      </c>
      <c r="R35" s="87">
        <f t="shared" si="11"/>
        <v>50.375</v>
      </c>
      <c r="S35" s="87">
        <f t="shared" si="11"/>
        <v>0</v>
      </c>
      <c r="T35" s="87">
        <f t="shared" si="11"/>
        <v>0</v>
      </c>
      <c r="U35" s="87">
        <f t="shared" si="11"/>
        <v>1245.0749999999998</v>
      </c>
      <c r="V35" s="87">
        <f t="shared" si="11"/>
        <v>95.774999999999991</v>
      </c>
      <c r="W35" s="87">
        <f t="shared" si="11"/>
        <v>0</v>
      </c>
      <c r="X35" s="87">
        <f t="shared" si="11"/>
        <v>0</v>
      </c>
      <c r="Y35" s="87">
        <f t="shared" si="11"/>
        <v>2531.6525000000001</v>
      </c>
      <c r="Z35" s="87">
        <f t="shared" si="11"/>
        <v>166.01</v>
      </c>
      <c r="AA35" s="87">
        <f t="shared" si="11"/>
        <v>12.77</v>
      </c>
      <c r="AB35" s="87">
        <f t="shared" si="11"/>
        <v>0</v>
      </c>
      <c r="AC35" s="87">
        <f t="shared" si="11"/>
        <v>0</v>
      </c>
      <c r="AD35" s="87">
        <f t="shared" si="11"/>
        <v>0</v>
      </c>
      <c r="AE35" s="87">
        <f t="shared" si="11"/>
        <v>0</v>
      </c>
      <c r="AF35" s="87">
        <f t="shared" si="11"/>
        <v>0</v>
      </c>
      <c r="AG35" s="87">
        <f t="shared" si="11"/>
        <v>0</v>
      </c>
      <c r="AH35" s="87">
        <f t="shared" si="11"/>
        <v>0</v>
      </c>
      <c r="AI35" s="87">
        <f t="shared" si="11"/>
        <v>0</v>
      </c>
      <c r="AJ35" s="87">
        <f t="shared" si="11"/>
        <v>0</v>
      </c>
      <c r="AK35" s="87">
        <f t="shared" si="11"/>
        <v>0</v>
      </c>
      <c r="AL35" s="87">
        <f t="shared" si="11"/>
        <v>0</v>
      </c>
      <c r="AM35" s="87">
        <f t="shared" si="11"/>
        <v>0</v>
      </c>
      <c r="AN35" s="87">
        <f t="shared" si="11"/>
        <v>0</v>
      </c>
      <c r="AO35" s="87">
        <f t="shared" si="11"/>
        <v>0</v>
      </c>
      <c r="AP35" s="87">
        <f t="shared" si="11"/>
        <v>0</v>
      </c>
      <c r="AQ35" s="87">
        <f t="shared" si="11"/>
        <v>0</v>
      </c>
    </row>
    <row r="36" spans="1:43" ht="34.5">
      <c r="A36" s="21">
        <f>A34+1</f>
        <v>11</v>
      </c>
      <c r="B36" s="45" t="s">
        <v>104</v>
      </c>
      <c r="C36" s="25" t="s">
        <v>105</v>
      </c>
      <c r="D36" s="88" t="s">
        <v>101</v>
      </c>
      <c r="E36" s="84" t="s">
        <v>79</v>
      </c>
      <c r="F36" s="89" t="s">
        <v>47</v>
      </c>
      <c r="G36" s="26">
        <v>417</v>
      </c>
      <c r="H36" s="32">
        <f>G36*12</f>
        <v>5004</v>
      </c>
      <c r="I36" s="32">
        <v>60</v>
      </c>
      <c r="J36" s="36"/>
      <c r="K36" s="32">
        <f>G36</f>
        <v>417</v>
      </c>
      <c r="L36" s="32">
        <v>300</v>
      </c>
      <c r="M36" s="37"/>
      <c r="N36" s="24">
        <v>125</v>
      </c>
      <c r="O36" s="24"/>
      <c r="P36" s="12">
        <f>G36*0.0775*13</f>
        <v>420.12750000000005</v>
      </c>
      <c r="Q36" s="9"/>
      <c r="R36" s="12">
        <f>P36/13</f>
        <v>32.317500000000003</v>
      </c>
      <c r="S36" s="37"/>
      <c r="T36" s="37"/>
      <c r="U36" s="12">
        <f>G36*0.075*13</f>
        <v>406.57499999999999</v>
      </c>
      <c r="V36" s="12">
        <f>U36/13</f>
        <v>31.274999999999999</v>
      </c>
      <c r="W36" s="37"/>
      <c r="X36" s="37"/>
      <c r="Y36" s="12">
        <f>P36+S36+U36+W36+0.01</f>
        <v>826.71250000000009</v>
      </c>
      <c r="Z36" s="12">
        <f>G36*0.01*13</f>
        <v>54.21</v>
      </c>
      <c r="AA36" s="12">
        <f t="shared" si="10"/>
        <v>4.17</v>
      </c>
      <c r="AB36" s="38"/>
      <c r="AC36" s="38"/>
      <c r="AD36" s="38"/>
      <c r="AE36" s="38"/>
      <c r="AF36" s="37"/>
      <c r="AG36" s="38"/>
      <c r="AH36" s="37"/>
      <c r="AI36" s="12"/>
      <c r="AJ36" s="38"/>
      <c r="AK36" s="38"/>
      <c r="AL36" s="38"/>
      <c r="AM36" s="12"/>
      <c r="AN36" s="12"/>
      <c r="AO36" s="12"/>
      <c r="AP36" s="38"/>
      <c r="AQ36" s="37"/>
    </row>
    <row r="37" spans="1:43">
      <c r="A37" s="21"/>
      <c r="B37" s="25"/>
      <c r="C37" s="86" t="s">
        <v>106</v>
      </c>
      <c r="D37" s="90"/>
      <c r="E37" s="84"/>
      <c r="F37" s="91"/>
      <c r="G37" s="87">
        <f>SUM(G36)</f>
        <v>417</v>
      </c>
      <c r="H37" s="87">
        <f t="shared" ref="H37:AQ37" si="12">SUM(H36)</f>
        <v>5004</v>
      </c>
      <c r="I37" s="87">
        <f t="shared" si="12"/>
        <v>60</v>
      </c>
      <c r="J37" s="87">
        <f t="shared" si="12"/>
        <v>0</v>
      </c>
      <c r="K37" s="87">
        <f t="shared" si="12"/>
        <v>417</v>
      </c>
      <c r="L37" s="87">
        <f t="shared" si="12"/>
        <v>300</v>
      </c>
      <c r="M37" s="87">
        <f t="shared" si="12"/>
        <v>0</v>
      </c>
      <c r="N37" s="87">
        <f t="shared" si="12"/>
        <v>125</v>
      </c>
      <c r="O37" s="87">
        <f t="shared" si="12"/>
        <v>0</v>
      </c>
      <c r="P37" s="87">
        <f t="shared" si="12"/>
        <v>420.12750000000005</v>
      </c>
      <c r="Q37" s="87">
        <f t="shared" si="12"/>
        <v>0</v>
      </c>
      <c r="R37" s="87">
        <f t="shared" si="12"/>
        <v>32.317500000000003</v>
      </c>
      <c r="S37" s="87">
        <f t="shared" si="12"/>
        <v>0</v>
      </c>
      <c r="T37" s="87">
        <f t="shared" si="12"/>
        <v>0</v>
      </c>
      <c r="U37" s="87">
        <f t="shared" si="12"/>
        <v>406.57499999999999</v>
      </c>
      <c r="V37" s="87">
        <f t="shared" si="12"/>
        <v>31.274999999999999</v>
      </c>
      <c r="W37" s="87">
        <f t="shared" si="12"/>
        <v>0</v>
      </c>
      <c r="X37" s="87">
        <f t="shared" si="12"/>
        <v>0</v>
      </c>
      <c r="Y37" s="87">
        <f t="shared" si="12"/>
        <v>826.71250000000009</v>
      </c>
      <c r="Z37" s="87">
        <f t="shared" si="12"/>
        <v>54.21</v>
      </c>
      <c r="AA37" s="87">
        <f t="shared" si="12"/>
        <v>4.17</v>
      </c>
      <c r="AB37" s="87">
        <f t="shared" si="12"/>
        <v>0</v>
      </c>
      <c r="AC37" s="87">
        <f t="shared" si="12"/>
        <v>0</v>
      </c>
      <c r="AD37" s="87">
        <f t="shared" si="12"/>
        <v>0</v>
      </c>
      <c r="AE37" s="87">
        <f t="shared" si="12"/>
        <v>0</v>
      </c>
      <c r="AF37" s="87">
        <f t="shared" si="12"/>
        <v>0</v>
      </c>
      <c r="AG37" s="87">
        <f t="shared" si="12"/>
        <v>0</v>
      </c>
      <c r="AH37" s="87">
        <f t="shared" si="12"/>
        <v>0</v>
      </c>
      <c r="AI37" s="87">
        <f t="shared" si="12"/>
        <v>0</v>
      </c>
      <c r="AJ37" s="87">
        <f t="shared" si="12"/>
        <v>0</v>
      </c>
      <c r="AK37" s="87">
        <f t="shared" si="12"/>
        <v>0</v>
      </c>
      <c r="AL37" s="87">
        <f t="shared" si="12"/>
        <v>0</v>
      </c>
      <c r="AM37" s="87">
        <f t="shared" si="12"/>
        <v>0</v>
      </c>
      <c r="AN37" s="87">
        <f t="shared" si="12"/>
        <v>0</v>
      </c>
      <c r="AO37" s="87">
        <f t="shared" si="12"/>
        <v>0</v>
      </c>
      <c r="AP37" s="87">
        <f t="shared" si="12"/>
        <v>0</v>
      </c>
      <c r="AQ37" s="87">
        <f t="shared" si="12"/>
        <v>0</v>
      </c>
    </row>
    <row r="38" spans="1:43">
      <c r="A38" s="21">
        <f>A36+1</f>
        <v>12</v>
      </c>
      <c r="B38" s="58" t="s">
        <v>107</v>
      </c>
      <c r="C38" s="25" t="s">
        <v>108</v>
      </c>
      <c r="D38" s="83" t="s">
        <v>108</v>
      </c>
      <c r="E38" s="84" t="s">
        <v>79</v>
      </c>
      <c r="F38" s="85" t="s">
        <v>47</v>
      </c>
      <c r="G38" s="26">
        <v>1500</v>
      </c>
      <c r="H38" s="32">
        <f>G38*12</f>
        <v>18000</v>
      </c>
      <c r="I38" s="32">
        <v>60</v>
      </c>
      <c r="J38" s="32"/>
      <c r="K38" s="32">
        <f>G38</f>
        <v>1500</v>
      </c>
      <c r="L38" s="32">
        <v>300</v>
      </c>
      <c r="M38" s="12">
        <v>1145</v>
      </c>
      <c r="N38" s="24">
        <v>125</v>
      </c>
      <c r="O38" s="24"/>
      <c r="P38" s="12">
        <f>G38*0.0775*13</f>
        <v>1511.25</v>
      </c>
      <c r="Q38" s="9">
        <f>P38/13</f>
        <v>116.25</v>
      </c>
      <c r="R38" s="12"/>
      <c r="S38" s="12"/>
      <c r="T38" s="12"/>
      <c r="U38" s="12">
        <f>75*13</f>
        <v>975</v>
      </c>
      <c r="V38" s="12">
        <f>U38/13</f>
        <v>75</v>
      </c>
      <c r="W38" s="12"/>
      <c r="X38" s="12"/>
      <c r="Y38" s="12">
        <f>P38+S38+U38+W38</f>
        <v>2486.25</v>
      </c>
      <c r="Z38" s="12">
        <f>10*13</f>
        <v>130</v>
      </c>
      <c r="AA38" s="12">
        <f t="shared" si="10"/>
        <v>10</v>
      </c>
      <c r="AB38" s="12">
        <f>G38/30/8*1.5*45</f>
        <v>421.875</v>
      </c>
      <c r="AC38" s="12">
        <v>192.86</v>
      </c>
      <c r="AD38" s="12">
        <f>AB38-AC38</f>
        <v>229.01499999999999</v>
      </c>
      <c r="AE38" s="12">
        <f>AB38*0.0775</f>
        <v>32.6953125</v>
      </c>
      <c r="AF38" s="12"/>
      <c r="AG38" s="12">
        <f>AB38*0.075</f>
        <v>31.640625</v>
      </c>
      <c r="AH38" s="12"/>
      <c r="AI38" s="12">
        <f>AE38+AF38+AG38+AH38+0.01</f>
        <v>64.345937500000005</v>
      </c>
      <c r="AJ38" s="12">
        <f>AB38*0.01</f>
        <v>4.21875</v>
      </c>
      <c r="AK38" s="12"/>
      <c r="AL38" s="12"/>
      <c r="AM38" s="12"/>
      <c r="AN38" s="12"/>
      <c r="AO38" s="12"/>
      <c r="AP38" s="12"/>
      <c r="AQ38" s="12"/>
    </row>
    <row r="39" spans="1:43">
      <c r="A39" s="21">
        <f>A38+1</f>
        <v>13</v>
      </c>
      <c r="B39" s="27" t="s">
        <v>109</v>
      </c>
      <c r="C39" s="25" t="s">
        <v>110</v>
      </c>
      <c r="D39" s="83" t="s">
        <v>108</v>
      </c>
      <c r="E39" s="84" t="s">
        <v>79</v>
      </c>
      <c r="F39" s="85" t="s">
        <v>47</v>
      </c>
      <c r="G39" s="26">
        <f>945+30+50</f>
        <v>1025</v>
      </c>
      <c r="H39" s="32">
        <f>G39*12</f>
        <v>12300</v>
      </c>
      <c r="I39" s="32">
        <v>60</v>
      </c>
      <c r="J39" s="32"/>
      <c r="K39" s="32">
        <f>G39</f>
        <v>1025</v>
      </c>
      <c r="L39" s="32">
        <v>300</v>
      </c>
      <c r="M39" s="26"/>
      <c r="N39" s="33">
        <v>125</v>
      </c>
      <c r="O39" s="33"/>
      <c r="P39" s="26">
        <f>G39*0.0775*13</f>
        <v>1032.6875</v>
      </c>
      <c r="Q39" s="34">
        <f>P39/13</f>
        <v>79.4375</v>
      </c>
      <c r="R39" s="26"/>
      <c r="S39" s="26"/>
      <c r="T39" s="26"/>
      <c r="U39" s="12">
        <f>75*13</f>
        <v>975</v>
      </c>
      <c r="V39" s="26">
        <f>U39/13</f>
        <v>75</v>
      </c>
      <c r="W39" s="26"/>
      <c r="X39" s="26"/>
      <c r="Y39" s="26">
        <f>P39+S39+U39+W39+0.01</f>
        <v>2007.6975</v>
      </c>
      <c r="Z39" s="26">
        <f>G39*0.01*13</f>
        <v>133.25</v>
      </c>
      <c r="AA39" s="26">
        <f>Z39/13</f>
        <v>10.25</v>
      </c>
      <c r="AB39" s="26"/>
      <c r="AC39" s="26"/>
      <c r="AD39" s="26"/>
      <c r="AE39" s="26"/>
      <c r="AF39" s="26"/>
      <c r="AG39" s="26"/>
      <c r="AH39" s="26"/>
      <c r="AI39" s="26"/>
      <c r="AJ39" s="12"/>
      <c r="AK39" s="12"/>
      <c r="AL39" s="12"/>
      <c r="AM39" s="12"/>
      <c r="AN39" s="12"/>
      <c r="AO39" s="12"/>
      <c r="AP39" s="12"/>
      <c r="AQ39" s="12"/>
    </row>
    <row r="40" spans="1:43">
      <c r="A40" s="21">
        <f>A39+1</f>
        <v>14</v>
      </c>
      <c r="B40" s="27" t="s">
        <v>111</v>
      </c>
      <c r="C40" s="51" t="s">
        <v>112</v>
      </c>
      <c r="D40" s="83" t="s">
        <v>108</v>
      </c>
      <c r="E40" s="84" t="s">
        <v>79</v>
      </c>
      <c r="F40" s="85" t="s">
        <v>47</v>
      </c>
      <c r="G40" s="26">
        <f>567+30+50</f>
        <v>647</v>
      </c>
      <c r="H40" s="32">
        <f>G40*12</f>
        <v>7764</v>
      </c>
      <c r="I40" s="32">
        <v>60</v>
      </c>
      <c r="J40" s="32"/>
      <c r="K40" s="32">
        <f>G40</f>
        <v>647</v>
      </c>
      <c r="L40" s="32">
        <v>300</v>
      </c>
      <c r="M40" s="12"/>
      <c r="N40" s="24">
        <v>125</v>
      </c>
      <c r="O40" s="24"/>
      <c r="P40" s="12">
        <f>G40*0.0775*13</f>
        <v>651.85249999999996</v>
      </c>
      <c r="Q40" s="9">
        <f>P40/13</f>
        <v>50.142499999999998</v>
      </c>
      <c r="R40" s="12"/>
      <c r="S40" s="12"/>
      <c r="T40" s="12"/>
      <c r="U40" s="12">
        <f>G40*0.075*13</f>
        <v>630.82499999999993</v>
      </c>
      <c r="V40" s="12">
        <f>U40/13</f>
        <v>48.524999999999991</v>
      </c>
      <c r="W40" s="12"/>
      <c r="X40" s="12"/>
      <c r="Y40" s="12">
        <f>P40+S40+U40+W40</f>
        <v>1282.6774999999998</v>
      </c>
      <c r="Z40" s="12">
        <f>G40*0.01*13</f>
        <v>84.11</v>
      </c>
      <c r="AA40" s="12">
        <f t="shared" si="10"/>
        <v>6.47</v>
      </c>
      <c r="AB40" s="12">
        <f>G40/30/7*1.5*45</f>
        <v>207.96428571428572</v>
      </c>
      <c r="AC40" s="12">
        <v>192.86</v>
      </c>
      <c r="AD40" s="12">
        <f>AB40-AC40</f>
        <v>15.104285714285709</v>
      </c>
      <c r="AE40" s="12">
        <f>AB40*0.0775</f>
        <v>16.117232142857144</v>
      </c>
      <c r="AF40" s="12"/>
      <c r="AG40" s="12">
        <f>AB40*0.075</f>
        <v>15.597321428571428</v>
      </c>
      <c r="AH40" s="12"/>
      <c r="AI40" s="12">
        <f>AE40+AF40+AG40+AH40+0.01</f>
        <v>31.724553571428576</v>
      </c>
      <c r="AJ40" s="12">
        <f>AB40*0.01</f>
        <v>2.0796428571428573</v>
      </c>
      <c r="AK40" s="12"/>
      <c r="AL40" s="12"/>
      <c r="AM40" s="12"/>
      <c r="AN40" s="12"/>
      <c r="AO40" s="12"/>
      <c r="AP40" s="12"/>
      <c r="AQ40" s="12"/>
    </row>
    <row r="41" spans="1:43">
      <c r="A41" s="21"/>
      <c r="B41" s="15"/>
      <c r="C41" s="86" t="s">
        <v>113</v>
      </c>
      <c r="D41" s="83"/>
      <c r="E41" s="84"/>
      <c r="F41" s="85"/>
      <c r="G41" s="87">
        <f>SUM(G38:G40)</f>
        <v>3172</v>
      </c>
      <c r="H41" s="30">
        <f>SUM(H38:H40)</f>
        <v>38064</v>
      </c>
      <c r="I41" s="30">
        <f>SUM(I38:I40)</f>
        <v>180</v>
      </c>
      <c r="J41" s="36"/>
      <c r="K41" s="30">
        <f>SUM(K38:K40)</f>
        <v>3172</v>
      </c>
      <c r="L41" s="30">
        <f>SUM(L38:L40)</f>
        <v>900</v>
      </c>
      <c r="M41" s="20">
        <f>SUM(M38:M40)</f>
        <v>1145</v>
      </c>
      <c r="N41" s="31">
        <f>SUM(N38:N40)</f>
        <v>375</v>
      </c>
      <c r="O41" s="31"/>
      <c r="P41" s="20">
        <f t="shared" ref="P41:T41" si="13">SUM(P38:P40)</f>
        <v>3195.79</v>
      </c>
      <c r="Q41" s="20">
        <f t="shared" si="13"/>
        <v>245.82999999999998</v>
      </c>
      <c r="R41" s="20">
        <f t="shared" si="13"/>
        <v>0</v>
      </c>
      <c r="S41" s="20">
        <f t="shared" si="13"/>
        <v>0</v>
      </c>
      <c r="T41" s="20">
        <f t="shared" si="13"/>
        <v>0</v>
      </c>
      <c r="U41" s="20">
        <f>SUM(U38:U40)+0.01</f>
        <v>2580.835</v>
      </c>
      <c r="V41" s="20">
        <f>SUM(V38:V40)+0.01</f>
        <v>198.53499999999997</v>
      </c>
      <c r="W41" s="20"/>
      <c r="X41" s="20"/>
      <c r="Y41" s="20">
        <f>SUM(Y38:Y40)</f>
        <v>5776.625</v>
      </c>
      <c r="Z41" s="20">
        <f>SUM(Z38:Z40)</f>
        <v>347.36</v>
      </c>
      <c r="AA41" s="20">
        <f>SUM(AA38:AA40)</f>
        <v>26.72</v>
      </c>
      <c r="AB41" s="20">
        <f>SUM(AB38:AB40)</f>
        <v>629.83928571428578</v>
      </c>
      <c r="AC41" s="20">
        <f t="shared" ref="AC41:AJ41" si="14">AC38+AC40</f>
        <v>385.72</v>
      </c>
      <c r="AD41" s="20">
        <f t="shared" si="14"/>
        <v>244.1192857142857</v>
      </c>
      <c r="AE41" s="20">
        <f>AE38+AE40+0.01</f>
        <v>48.822544642857146</v>
      </c>
      <c r="AF41" s="20"/>
      <c r="AG41" s="20">
        <f t="shared" si="14"/>
        <v>47.237946428571426</v>
      </c>
      <c r="AH41" s="20"/>
      <c r="AI41" s="20">
        <f>AI38+AI40</f>
        <v>96.070491071428577</v>
      </c>
      <c r="AJ41" s="20">
        <f t="shared" si="14"/>
        <v>6.2983928571428578</v>
      </c>
      <c r="AK41" s="38"/>
      <c r="AL41" s="38"/>
      <c r="AM41" s="39"/>
      <c r="AN41" s="39"/>
      <c r="AO41" s="39"/>
      <c r="AP41" s="38"/>
      <c r="AQ41" s="37"/>
    </row>
    <row r="42" spans="1:43" ht="40.5" customHeight="1">
      <c r="A42" s="21">
        <f>A40+1</f>
        <v>15</v>
      </c>
      <c r="B42" s="92" t="s">
        <v>114</v>
      </c>
      <c r="C42" s="25" t="s">
        <v>115</v>
      </c>
      <c r="D42" s="83" t="s">
        <v>116</v>
      </c>
      <c r="E42" s="84" t="s">
        <v>79</v>
      </c>
      <c r="F42" s="85" t="s">
        <v>47</v>
      </c>
      <c r="G42" s="26">
        <f>467</f>
        <v>467</v>
      </c>
      <c r="H42" s="32">
        <f>G42*12</f>
        <v>5604</v>
      </c>
      <c r="I42" s="32">
        <v>60</v>
      </c>
      <c r="J42" s="32"/>
      <c r="K42" s="32">
        <f>G42</f>
        <v>467</v>
      </c>
      <c r="L42" s="32">
        <v>300</v>
      </c>
      <c r="M42" s="12"/>
      <c r="N42" s="24">
        <v>125</v>
      </c>
      <c r="O42" s="24"/>
      <c r="P42" s="12">
        <f>G42*0.0775*13</f>
        <v>470.50250000000005</v>
      </c>
      <c r="Q42" s="9">
        <f>P42/13</f>
        <v>36.192500000000003</v>
      </c>
      <c r="R42" s="12"/>
      <c r="S42" s="12"/>
      <c r="T42" s="12"/>
      <c r="U42" s="12">
        <f>G42*0.075*13</f>
        <v>455.32499999999999</v>
      </c>
      <c r="V42" s="12">
        <f>U42/13</f>
        <v>35.024999999999999</v>
      </c>
      <c r="W42" s="12"/>
      <c r="X42" s="12"/>
      <c r="Y42" s="12">
        <f>P42+S42+U42+W42</f>
        <v>925.8275000000001</v>
      </c>
      <c r="Z42" s="12">
        <f>G42*0.01*13</f>
        <v>60.71</v>
      </c>
      <c r="AA42" s="12">
        <f>Z42/13</f>
        <v>4.67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ht="36.75">
      <c r="A43" s="21">
        <f>A42+1</f>
        <v>16</v>
      </c>
      <c r="B43" s="25" t="s">
        <v>117</v>
      </c>
      <c r="C43" s="25" t="s">
        <v>91</v>
      </c>
      <c r="D43" s="83" t="s">
        <v>116</v>
      </c>
      <c r="E43" s="84" t="s">
        <v>79</v>
      </c>
      <c r="F43" s="85" t="s">
        <v>47</v>
      </c>
      <c r="G43" s="26">
        <v>417</v>
      </c>
      <c r="H43" s="32">
        <f>G43*12</f>
        <v>5004</v>
      </c>
      <c r="I43" s="32">
        <v>60</v>
      </c>
      <c r="J43" s="32"/>
      <c r="K43" s="32">
        <f>G43</f>
        <v>417</v>
      </c>
      <c r="L43" s="32">
        <v>300</v>
      </c>
      <c r="M43" s="12"/>
      <c r="N43" s="24">
        <v>125</v>
      </c>
      <c r="O43" s="24"/>
      <c r="P43" s="12">
        <f>G43*0.0775*13</f>
        <v>420.12750000000005</v>
      </c>
      <c r="Q43" s="9">
        <f>P43/13</f>
        <v>32.317500000000003</v>
      </c>
      <c r="R43" s="12"/>
      <c r="S43" s="12"/>
      <c r="T43" s="12"/>
      <c r="U43" s="12">
        <f>G43*0.075*13</f>
        <v>406.57499999999999</v>
      </c>
      <c r="V43" s="12">
        <f>U43/13</f>
        <v>31.274999999999999</v>
      </c>
      <c r="W43" s="12"/>
      <c r="X43" s="12"/>
      <c r="Y43" s="12">
        <f>P43+S43+U43+W43</f>
        <v>826.7025000000001</v>
      </c>
      <c r="Z43" s="12">
        <f>G43*0.01*13</f>
        <v>54.21</v>
      </c>
      <c r="AA43" s="12">
        <f>Z43/13</f>
        <v>4.17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>
      <c r="A44" s="41"/>
      <c r="B44" s="42"/>
      <c r="C44" s="406" t="s">
        <v>118</v>
      </c>
      <c r="D44" s="407"/>
      <c r="E44" s="84"/>
      <c r="F44" s="85"/>
      <c r="G44" s="87">
        <f>SUM(G42:G43)</f>
        <v>884</v>
      </c>
      <c r="H44" s="30">
        <f t="shared" ref="H44:I44" si="15">SUM(H42:H43)</f>
        <v>10608</v>
      </c>
      <c r="I44" s="30">
        <f t="shared" si="15"/>
        <v>120</v>
      </c>
      <c r="J44" s="36"/>
      <c r="K44" s="30">
        <f>SUM(K42:K43)</f>
        <v>884</v>
      </c>
      <c r="L44" s="30">
        <f>SUM(L42:L43)</f>
        <v>600</v>
      </c>
      <c r="M44" s="37"/>
      <c r="N44" s="30">
        <f>SUM(N42:N43)</f>
        <v>250</v>
      </c>
      <c r="O44" s="31"/>
      <c r="P44" s="30">
        <f t="shared" ref="P44:Q44" si="16">SUM(P42:P43)</f>
        <v>890.63000000000011</v>
      </c>
      <c r="Q44" s="30">
        <f t="shared" si="16"/>
        <v>68.510000000000005</v>
      </c>
      <c r="R44" s="20"/>
      <c r="S44" s="12">
        <f>SUM(S42)</f>
        <v>0</v>
      </c>
      <c r="T44" s="12">
        <f>SUM(T42)</f>
        <v>0</v>
      </c>
      <c r="U44" s="30">
        <f>SUM(U42:U43)+0.01</f>
        <v>861.91</v>
      </c>
      <c r="V44" s="30">
        <f>SUM(V42:V43)+0.01</f>
        <v>66.31</v>
      </c>
      <c r="W44" s="12"/>
      <c r="X44" s="12"/>
      <c r="Y44" s="30">
        <f t="shared" ref="Y44:AA44" si="17">SUM(Y42:Y43)</f>
        <v>1752.5300000000002</v>
      </c>
      <c r="Z44" s="30">
        <f t="shared" si="17"/>
        <v>114.92</v>
      </c>
      <c r="AA44" s="30">
        <f t="shared" si="17"/>
        <v>8.84</v>
      </c>
      <c r="AB44" s="38"/>
      <c r="AC44" s="38"/>
      <c r="AD44" s="38"/>
      <c r="AE44" s="38"/>
      <c r="AF44" s="37"/>
      <c r="AG44" s="38"/>
      <c r="AH44" s="37"/>
      <c r="AI44" s="12"/>
      <c r="AJ44" s="38"/>
      <c r="AK44" s="38"/>
      <c r="AL44" s="38"/>
      <c r="AM44" s="39"/>
      <c r="AN44" s="39"/>
      <c r="AO44" s="39"/>
      <c r="AP44" s="38"/>
      <c r="AQ44" s="37"/>
    </row>
    <row r="45" spans="1:43" ht="51.75" customHeight="1">
      <c r="A45" s="21">
        <f>A43+1</f>
        <v>17</v>
      </c>
      <c r="B45" s="27" t="s">
        <v>119</v>
      </c>
      <c r="C45" s="51" t="s">
        <v>120</v>
      </c>
      <c r="D45" s="93" t="s">
        <v>121</v>
      </c>
      <c r="E45" s="84" t="s">
        <v>79</v>
      </c>
      <c r="F45" s="85" t="s">
        <v>47</v>
      </c>
      <c r="G45" s="26">
        <f>687+30+50</f>
        <v>767</v>
      </c>
      <c r="H45" s="32">
        <f>G45*12</f>
        <v>9204</v>
      </c>
      <c r="I45" s="32">
        <v>60</v>
      </c>
      <c r="J45" s="32"/>
      <c r="K45" s="32">
        <f>G45</f>
        <v>767</v>
      </c>
      <c r="L45" s="32">
        <v>300</v>
      </c>
      <c r="M45" s="12"/>
      <c r="N45" s="24">
        <v>125</v>
      </c>
      <c r="O45" s="24"/>
      <c r="P45" s="12">
        <f>G45*0.0775*13</f>
        <v>772.75250000000005</v>
      </c>
      <c r="Q45" s="40"/>
      <c r="R45" s="12">
        <f>P45/13</f>
        <v>59.442500000000003</v>
      </c>
      <c r="S45" s="12"/>
      <c r="T45" s="12"/>
      <c r="U45" s="12">
        <f>G45*0.075*13</f>
        <v>747.82499999999993</v>
      </c>
      <c r="V45" s="12">
        <f>U45/13</f>
        <v>57.524999999999991</v>
      </c>
      <c r="W45" s="12"/>
      <c r="X45" s="12"/>
      <c r="Y45" s="12">
        <f>P45+S45+U45+W45</f>
        <v>1520.5774999999999</v>
      </c>
      <c r="Z45" s="12">
        <f>G45*0.01*13</f>
        <v>99.71</v>
      </c>
      <c r="AA45" s="12">
        <f>Z45/13</f>
        <v>7.67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ht="56.25" customHeight="1">
      <c r="A46" s="21">
        <f>A45+1</f>
        <v>18</v>
      </c>
      <c r="B46" s="27" t="s">
        <v>122</v>
      </c>
      <c r="C46" s="94" t="s">
        <v>123</v>
      </c>
      <c r="D46" s="93" t="s">
        <v>121</v>
      </c>
      <c r="E46" s="84" t="s">
        <v>79</v>
      </c>
      <c r="F46" s="85" t="s">
        <v>47</v>
      </c>
      <c r="G46" s="26">
        <f>467+30+50</f>
        <v>547</v>
      </c>
      <c r="H46" s="32">
        <f>G46*12</f>
        <v>6564</v>
      </c>
      <c r="I46" s="32">
        <v>60</v>
      </c>
      <c r="J46" s="36"/>
      <c r="K46" s="32">
        <f>G46</f>
        <v>547</v>
      </c>
      <c r="L46" s="32">
        <v>300</v>
      </c>
      <c r="M46" s="37"/>
      <c r="N46" s="24">
        <v>125</v>
      </c>
      <c r="O46" s="24"/>
      <c r="P46" s="12">
        <f>G46*0.0775*13</f>
        <v>551.10249999999996</v>
      </c>
      <c r="Q46" s="9">
        <f>P46/13</f>
        <v>42.392499999999998</v>
      </c>
      <c r="R46" s="12"/>
      <c r="S46" s="12"/>
      <c r="T46" s="12"/>
      <c r="U46" s="12">
        <f>G46*0.075*13</f>
        <v>533.32499999999993</v>
      </c>
      <c r="V46" s="12">
        <f>U46/13</f>
        <v>41.024999999999991</v>
      </c>
      <c r="W46" s="12"/>
      <c r="X46" s="12"/>
      <c r="Y46" s="12">
        <f>P46+S46+U46+W46</f>
        <v>1084.4274999999998</v>
      </c>
      <c r="Z46" s="12">
        <f>G46*0.01*13</f>
        <v>71.11</v>
      </c>
      <c r="AA46" s="12">
        <f>Z46/13</f>
        <v>5.47</v>
      </c>
      <c r="AB46" s="38"/>
      <c r="AC46" s="38"/>
      <c r="AD46" s="38"/>
      <c r="AE46" s="38"/>
      <c r="AF46" s="37"/>
      <c r="AG46" s="38"/>
      <c r="AH46" s="37"/>
      <c r="AI46" s="12"/>
      <c r="AJ46" s="38"/>
      <c r="AK46" s="38"/>
      <c r="AL46" s="38"/>
      <c r="AM46" s="12"/>
      <c r="AN46" s="12"/>
      <c r="AO46" s="12"/>
      <c r="AP46" s="38"/>
      <c r="AQ46" s="37"/>
    </row>
    <row r="47" spans="1:43" ht="55.5" customHeight="1">
      <c r="A47" s="21">
        <f>A46+1</f>
        <v>19</v>
      </c>
      <c r="B47" s="25" t="s">
        <v>124</v>
      </c>
      <c r="C47" s="94" t="s">
        <v>123</v>
      </c>
      <c r="D47" s="93" t="s">
        <v>121</v>
      </c>
      <c r="E47" s="84" t="s">
        <v>79</v>
      </c>
      <c r="F47" s="85" t="s">
        <v>47</v>
      </c>
      <c r="G47" s="26">
        <v>497</v>
      </c>
      <c r="H47" s="32">
        <f>G47*12</f>
        <v>5964</v>
      </c>
      <c r="I47" s="32">
        <v>60</v>
      </c>
      <c r="J47" s="36"/>
      <c r="K47" s="32">
        <f>G47</f>
        <v>497</v>
      </c>
      <c r="L47" s="32">
        <v>300</v>
      </c>
      <c r="M47" s="37"/>
      <c r="N47" s="24">
        <v>125</v>
      </c>
      <c r="O47" s="24"/>
      <c r="P47" s="12">
        <f>G47*0.0775*13</f>
        <v>500.72749999999996</v>
      </c>
      <c r="Q47" s="9">
        <f>P47/13</f>
        <v>38.517499999999998</v>
      </c>
      <c r="R47" s="12"/>
      <c r="S47" s="12"/>
      <c r="T47" s="12"/>
      <c r="U47" s="12">
        <f>G47*0.075*13</f>
        <v>484.57499999999999</v>
      </c>
      <c r="V47" s="12">
        <f>U47/13</f>
        <v>37.274999999999999</v>
      </c>
      <c r="W47" s="12"/>
      <c r="X47" s="12"/>
      <c r="Y47" s="12">
        <f>P47+S47+U47+W47+0.01</f>
        <v>985.3125</v>
      </c>
      <c r="Z47" s="12">
        <f>G47*0.01*13</f>
        <v>64.61</v>
      </c>
      <c r="AA47" s="12">
        <f>Z47/13</f>
        <v>4.97</v>
      </c>
      <c r="AB47" s="38"/>
      <c r="AC47" s="38"/>
      <c r="AD47" s="38"/>
      <c r="AE47" s="38"/>
      <c r="AF47" s="37"/>
      <c r="AG47" s="38"/>
      <c r="AH47" s="37"/>
      <c r="AI47" s="12"/>
      <c r="AJ47" s="38"/>
      <c r="AK47" s="38"/>
      <c r="AL47" s="38"/>
      <c r="AM47" s="12"/>
      <c r="AN47" s="12"/>
      <c r="AO47" s="12"/>
      <c r="AP47" s="38"/>
      <c r="AQ47" s="37"/>
    </row>
    <row r="48" spans="1:43" ht="48.75" customHeight="1">
      <c r="A48" s="21">
        <f>A47+1</f>
        <v>20</v>
      </c>
      <c r="B48" s="27" t="s">
        <v>125</v>
      </c>
      <c r="C48" s="94" t="s">
        <v>123</v>
      </c>
      <c r="D48" s="93" t="s">
        <v>121</v>
      </c>
      <c r="E48" s="84" t="s">
        <v>79</v>
      </c>
      <c r="F48" s="85" t="s">
        <v>47</v>
      </c>
      <c r="G48" s="26">
        <f>417+50</f>
        <v>467</v>
      </c>
      <c r="H48" s="32">
        <f>G48*12</f>
        <v>5604</v>
      </c>
      <c r="I48" s="32">
        <v>60</v>
      </c>
      <c r="J48" s="36"/>
      <c r="K48" s="32">
        <f>G48</f>
        <v>467</v>
      </c>
      <c r="L48" s="32">
        <v>300</v>
      </c>
      <c r="M48" s="37"/>
      <c r="N48" s="24">
        <v>125</v>
      </c>
      <c r="O48" s="24"/>
      <c r="P48" s="12">
        <f>G48*0.0775*13</f>
        <v>470.50250000000005</v>
      </c>
      <c r="Q48" s="9">
        <f>P48/13</f>
        <v>36.192500000000003</v>
      </c>
      <c r="R48" s="12"/>
      <c r="S48" s="12"/>
      <c r="T48" s="12"/>
      <c r="U48" s="12">
        <f>G48*0.075*13</f>
        <v>455.32499999999999</v>
      </c>
      <c r="V48" s="12">
        <f>U48/13</f>
        <v>35.024999999999999</v>
      </c>
      <c r="W48" s="12"/>
      <c r="X48" s="12"/>
      <c r="Y48" s="12">
        <f>P48+S48+U48+W48</f>
        <v>925.8275000000001</v>
      </c>
      <c r="Z48" s="12">
        <f>G48*0.01*13</f>
        <v>60.71</v>
      </c>
      <c r="AA48" s="12">
        <f>Z48/13</f>
        <v>4.67</v>
      </c>
      <c r="AB48" s="38"/>
      <c r="AC48" s="38"/>
      <c r="AD48" s="38"/>
      <c r="AE48" s="38"/>
      <c r="AF48" s="37"/>
      <c r="AG48" s="38"/>
      <c r="AH48" s="37"/>
      <c r="AI48" s="12"/>
      <c r="AJ48" s="38"/>
      <c r="AK48" s="38"/>
      <c r="AL48" s="38"/>
      <c r="AM48" s="12"/>
      <c r="AN48" s="12"/>
      <c r="AO48" s="12"/>
      <c r="AP48" s="38"/>
      <c r="AQ48" s="37"/>
    </row>
    <row r="49" spans="1:43" ht="25.5" customHeight="1">
      <c r="A49" s="43"/>
      <c r="B49" s="44"/>
      <c r="C49" s="413" t="s">
        <v>126</v>
      </c>
      <c r="D49" s="414"/>
      <c r="E49" s="415"/>
      <c r="F49" s="85"/>
      <c r="G49" s="87">
        <f>SUM(G45:G48)</f>
        <v>2278</v>
      </c>
      <c r="H49" s="30">
        <f>SUM(H45:H48)</f>
        <v>27336</v>
      </c>
      <c r="I49" s="30">
        <f>SUM(I45:I48)</f>
        <v>240</v>
      </c>
      <c r="J49" s="36"/>
      <c r="K49" s="30">
        <f>SUM(K45:K48)</f>
        <v>2278</v>
      </c>
      <c r="L49" s="30">
        <f>SUM(L45:L48)</f>
        <v>1200</v>
      </c>
      <c r="M49" s="37"/>
      <c r="N49" s="20">
        <f>SUM(N45:N48)</f>
        <v>500</v>
      </c>
      <c r="O49" s="31"/>
      <c r="P49" s="20">
        <f>SUM(P45:P48)-0.01</f>
        <v>2295.0749999999998</v>
      </c>
      <c r="Q49" s="20">
        <f>SUM(Q45:Q48)</f>
        <v>117.10249999999999</v>
      </c>
      <c r="R49" s="20">
        <f>SUM(R45:R48)-0.01</f>
        <v>59.432500000000005</v>
      </c>
      <c r="S49" s="20">
        <f>SUM(S45:S48)</f>
        <v>0</v>
      </c>
      <c r="T49" s="20">
        <f>SUM(T45:T48)</f>
        <v>0</v>
      </c>
      <c r="U49" s="20">
        <f>SUM(U45:U48)+0.02</f>
        <v>2221.0699999999997</v>
      </c>
      <c r="V49" s="20">
        <f>SUM(V45:V48)+0.02</f>
        <v>170.87</v>
      </c>
      <c r="W49" s="20">
        <f>SUM(W45:W48)</f>
        <v>0</v>
      </c>
      <c r="X49" s="20">
        <f>SUM(X45:X48)</f>
        <v>0</v>
      </c>
      <c r="Y49" s="20">
        <f>SUM(Y45:Y48)</f>
        <v>4516.1449999999995</v>
      </c>
      <c r="Z49" s="20">
        <f>SUM(Z45:Z48)</f>
        <v>296.14</v>
      </c>
      <c r="AA49" s="20">
        <f>SUM(AA45:AA48)</f>
        <v>22.78</v>
      </c>
      <c r="AB49" s="38"/>
      <c r="AC49" s="38"/>
      <c r="AD49" s="38"/>
      <c r="AE49" s="38"/>
      <c r="AF49" s="37"/>
      <c r="AG49" s="38"/>
      <c r="AH49" s="37"/>
      <c r="AI49" s="12"/>
      <c r="AJ49" s="38"/>
      <c r="AK49" s="38"/>
      <c r="AL49" s="38"/>
      <c r="AM49" s="39"/>
      <c r="AN49" s="39"/>
      <c r="AO49" s="39"/>
      <c r="AP49" s="38"/>
      <c r="AQ49" s="37"/>
    </row>
    <row r="50" spans="1:43" ht="38.25" customHeight="1">
      <c r="A50" s="21">
        <f>A48+1</f>
        <v>21</v>
      </c>
      <c r="B50" s="27" t="s">
        <v>127</v>
      </c>
      <c r="C50" s="94" t="s">
        <v>128</v>
      </c>
      <c r="D50" s="83" t="s">
        <v>129</v>
      </c>
      <c r="E50" s="84" t="s">
        <v>79</v>
      </c>
      <c r="F50" s="85" t="s">
        <v>47</v>
      </c>
      <c r="G50" s="26">
        <f>595+30+50</f>
        <v>675</v>
      </c>
      <c r="H50" s="32">
        <f>G50*12</f>
        <v>8100</v>
      </c>
      <c r="I50" s="32">
        <v>60</v>
      </c>
      <c r="J50" s="36"/>
      <c r="K50" s="32">
        <f>G50</f>
        <v>675</v>
      </c>
      <c r="L50" s="32">
        <v>300</v>
      </c>
      <c r="M50" s="37"/>
      <c r="N50" s="24">
        <v>125</v>
      </c>
      <c r="O50" s="24"/>
      <c r="P50" s="12">
        <f>G50*0.0775*13</f>
        <v>680.0625</v>
      </c>
      <c r="Q50" s="40"/>
      <c r="R50" s="12">
        <f>P50/13</f>
        <v>52.3125</v>
      </c>
      <c r="S50" s="12"/>
      <c r="T50" s="12"/>
      <c r="U50" s="12">
        <f>G50*0.075*13</f>
        <v>658.125</v>
      </c>
      <c r="V50" s="12">
        <f>U50/13</f>
        <v>50.625</v>
      </c>
      <c r="W50" s="12"/>
      <c r="X50" s="12"/>
      <c r="Y50" s="12">
        <f>P50+S50+U50+W50</f>
        <v>1338.1875</v>
      </c>
      <c r="Z50" s="12">
        <f>G50*0.01*13</f>
        <v>87.75</v>
      </c>
      <c r="AA50" s="12">
        <f>Z50/13</f>
        <v>6.75</v>
      </c>
      <c r="AB50" s="38"/>
      <c r="AC50" s="38"/>
      <c r="AD50" s="38"/>
      <c r="AE50" s="38"/>
      <c r="AF50" s="37"/>
      <c r="AG50" s="38"/>
      <c r="AH50" s="37"/>
      <c r="AI50" s="12"/>
      <c r="AJ50" s="38"/>
      <c r="AK50" s="38"/>
      <c r="AL50" s="38"/>
      <c r="AM50" s="12"/>
      <c r="AN50" s="12"/>
      <c r="AO50" s="12"/>
      <c r="AP50" s="38"/>
      <c r="AQ50" s="37"/>
    </row>
    <row r="51" spans="1:43">
      <c r="A51" s="21"/>
      <c r="B51" s="15"/>
      <c r="C51" s="86" t="s">
        <v>130</v>
      </c>
      <c r="D51" s="83"/>
      <c r="E51" s="84"/>
      <c r="F51" s="85"/>
      <c r="G51" s="87">
        <f>SUM(G50)</f>
        <v>675</v>
      </c>
      <c r="H51" s="30">
        <f>SUM(H50)</f>
        <v>8100</v>
      </c>
      <c r="I51" s="30">
        <f>SUM(I50)</f>
        <v>60</v>
      </c>
      <c r="J51" s="36"/>
      <c r="K51" s="30">
        <f t="shared" ref="K51:R51" si="18">SUM(K50)</f>
        <v>675</v>
      </c>
      <c r="L51" s="30">
        <f t="shared" si="18"/>
        <v>300</v>
      </c>
      <c r="M51" s="37"/>
      <c r="N51" s="20">
        <f t="shared" si="18"/>
        <v>125</v>
      </c>
      <c r="O51" s="31"/>
      <c r="P51" s="20">
        <f t="shared" si="18"/>
        <v>680.0625</v>
      </c>
      <c r="Q51" s="20">
        <f t="shared" si="18"/>
        <v>0</v>
      </c>
      <c r="R51" s="20">
        <f t="shared" si="18"/>
        <v>52.3125</v>
      </c>
      <c r="S51" s="12">
        <f>SUM(S50)</f>
        <v>0</v>
      </c>
      <c r="T51" s="12">
        <f>SUM(T50)</f>
        <v>0</v>
      </c>
      <c r="U51" s="20">
        <f>SUM(U50)</f>
        <v>658.125</v>
      </c>
      <c r="V51" s="20">
        <f>SUM(V50)</f>
        <v>50.625</v>
      </c>
      <c r="W51" s="12"/>
      <c r="X51" s="12"/>
      <c r="Y51" s="20">
        <f>SUM(Y50)</f>
        <v>1338.1875</v>
      </c>
      <c r="Z51" s="20">
        <f>SUM(Z50)</f>
        <v>87.75</v>
      </c>
      <c r="AA51" s="20">
        <f>SUM(AA50)</f>
        <v>6.75</v>
      </c>
      <c r="AB51" s="38"/>
      <c r="AC51" s="38"/>
      <c r="AD51" s="38"/>
      <c r="AE51" s="38"/>
      <c r="AF51" s="37"/>
      <c r="AG51" s="12"/>
      <c r="AH51" s="37"/>
      <c r="AI51" s="12"/>
      <c r="AJ51" s="38"/>
      <c r="AK51" s="38"/>
      <c r="AL51" s="38"/>
      <c r="AM51" s="39"/>
      <c r="AN51" s="39"/>
      <c r="AO51" s="39"/>
      <c r="AP51" s="38"/>
      <c r="AQ51" s="37"/>
    </row>
    <row r="52" spans="1:43" ht="24.75">
      <c r="A52" s="21">
        <f>A50+1</f>
        <v>22</v>
      </c>
      <c r="B52" s="45" t="s">
        <v>131</v>
      </c>
      <c r="C52" s="95" t="s">
        <v>132</v>
      </c>
      <c r="D52" s="83" t="s">
        <v>133</v>
      </c>
      <c r="E52" s="84" t="s">
        <v>79</v>
      </c>
      <c r="F52" s="85" t="s">
        <v>47</v>
      </c>
      <c r="G52" s="26">
        <f>734.86+30+50</f>
        <v>814.86</v>
      </c>
      <c r="H52" s="32">
        <f>G52*12</f>
        <v>9778.32</v>
      </c>
      <c r="I52" s="32">
        <v>60</v>
      </c>
      <c r="J52" s="36"/>
      <c r="K52" s="32">
        <f>G52</f>
        <v>814.86</v>
      </c>
      <c r="L52" s="32">
        <v>300</v>
      </c>
      <c r="M52" s="37"/>
      <c r="N52" s="24">
        <v>125</v>
      </c>
      <c r="O52" s="24"/>
      <c r="P52" s="12">
        <f>G52*0.0775*13</f>
        <v>820.97145</v>
      </c>
      <c r="Q52" s="9">
        <f>P52/13</f>
        <v>63.151650000000004</v>
      </c>
      <c r="R52" s="12"/>
      <c r="S52" s="12"/>
      <c r="T52" s="12"/>
      <c r="U52" s="12">
        <f>G52*0.075*13</f>
        <v>794.48850000000004</v>
      </c>
      <c r="V52" s="12">
        <f>U52/13</f>
        <v>61.114500000000007</v>
      </c>
      <c r="W52" s="12"/>
      <c r="X52" s="12"/>
      <c r="Y52" s="12">
        <f>P52+S52+U52+W52</f>
        <v>1615.4599499999999</v>
      </c>
      <c r="Z52" s="12">
        <f>G52*0.01*13</f>
        <v>105.9318</v>
      </c>
      <c r="AA52" s="12">
        <f>Z52/13</f>
        <v>8.1486000000000001</v>
      </c>
      <c r="AB52" s="38"/>
      <c r="AC52" s="38"/>
      <c r="AD52" s="38"/>
      <c r="AE52" s="38"/>
      <c r="AF52" s="37"/>
      <c r="AG52" s="12"/>
      <c r="AH52" s="37"/>
      <c r="AI52" s="12"/>
      <c r="AJ52" s="38"/>
      <c r="AK52" s="38"/>
      <c r="AL52" s="38"/>
      <c r="AM52" s="12"/>
      <c r="AN52" s="12"/>
      <c r="AO52" s="12"/>
      <c r="AP52" s="38"/>
      <c r="AQ52" s="37"/>
    </row>
    <row r="53" spans="1:43" ht="24.75">
      <c r="A53" s="21">
        <f>A52+1</f>
        <v>23</v>
      </c>
      <c r="B53" s="45" t="s">
        <v>134</v>
      </c>
      <c r="C53" s="95" t="s">
        <v>135</v>
      </c>
      <c r="D53" s="83" t="s">
        <v>133</v>
      </c>
      <c r="E53" s="84" t="s">
        <v>79</v>
      </c>
      <c r="F53" s="85" t="s">
        <v>47</v>
      </c>
      <c r="G53" s="26">
        <f>570+30+50</f>
        <v>650</v>
      </c>
      <c r="H53" s="32">
        <f>G53*12</f>
        <v>7800</v>
      </c>
      <c r="I53" s="32">
        <v>60</v>
      </c>
      <c r="J53" s="32"/>
      <c r="K53" s="32">
        <f>G53</f>
        <v>650</v>
      </c>
      <c r="L53" s="32">
        <v>300</v>
      </c>
      <c r="M53" s="12"/>
      <c r="N53" s="24">
        <v>125</v>
      </c>
      <c r="O53" s="24"/>
      <c r="P53" s="12">
        <f>G53*0.0775*13</f>
        <v>654.875</v>
      </c>
      <c r="Q53" s="12">
        <f>P53/13</f>
        <v>50.375</v>
      </c>
      <c r="S53" s="12"/>
      <c r="T53" s="12"/>
      <c r="U53" s="12">
        <f>G53*0.075*13</f>
        <v>633.75</v>
      </c>
      <c r="V53" s="12">
        <f>U53/13</f>
        <v>48.75</v>
      </c>
      <c r="W53" s="12"/>
      <c r="X53" s="12"/>
      <c r="Y53" s="12">
        <f>P53+S53+U53+W53</f>
        <v>1288.625</v>
      </c>
      <c r="Z53" s="12">
        <f>G53*0.01*13</f>
        <v>84.5</v>
      </c>
      <c r="AA53" s="12">
        <f>Z53/13</f>
        <v>6.5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ht="24.75">
      <c r="A54" s="21">
        <f>A53+1</f>
        <v>24</v>
      </c>
      <c r="B54" s="45" t="s">
        <v>136</v>
      </c>
      <c r="C54" s="95" t="s">
        <v>137</v>
      </c>
      <c r="D54" s="83" t="s">
        <v>133</v>
      </c>
      <c r="E54" s="84" t="s">
        <v>79</v>
      </c>
      <c r="F54" s="85" t="s">
        <v>47</v>
      </c>
      <c r="G54" s="26">
        <f>477+30+50</f>
        <v>557</v>
      </c>
      <c r="H54" s="32">
        <f>G54*12</f>
        <v>6684</v>
      </c>
      <c r="I54" s="32">
        <v>60</v>
      </c>
      <c r="J54" s="36"/>
      <c r="K54" s="32">
        <f>G54</f>
        <v>557</v>
      </c>
      <c r="L54" s="32">
        <v>300</v>
      </c>
      <c r="M54" s="37"/>
      <c r="N54" s="24">
        <v>125</v>
      </c>
      <c r="O54" s="24"/>
      <c r="P54" s="12">
        <f>G54*0.0775*13</f>
        <v>561.17750000000001</v>
      </c>
      <c r="Q54" s="9">
        <f>P54/13</f>
        <v>43.167500000000004</v>
      </c>
      <c r="R54" s="12"/>
      <c r="S54" s="12"/>
      <c r="T54" s="12"/>
      <c r="U54" s="12">
        <f>G54*0.075*13</f>
        <v>543.07499999999993</v>
      </c>
      <c r="V54" s="12">
        <f>U54/13</f>
        <v>41.774999999999991</v>
      </c>
      <c r="W54" s="12"/>
      <c r="X54" s="12"/>
      <c r="Y54" s="12">
        <f>P54+S54+U54+W54+0.01</f>
        <v>1104.2625</v>
      </c>
      <c r="Z54" s="12">
        <f>G54*0.01*13</f>
        <v>72.41</v>
      </c>
      <c r="AA54" s="12">
        <f>Z54/13</f>
        <v>5.5699999999999994</v>
      </c>
      <c r="AB54" s="38"/>
      <c r="AC54" s="38"/>
      <c r="AD54" s="38"/>
      <c r="AE54" s="38"/>
      <c r="AF54" s="37"/>
      <c r="AG54" s="38"/>
      <c r="AH54" s="37"/>
      <c r="AI54" s="12"/>
      <c r="AJ54" s="38"/>
      <c r="AK54" s="38"/>
      <c r="AL54" s="38"/>
      <c r="AM54" s="12"/>
      <c r="AN54" s="12"/>
      <c r="AO54" s="12"/>
      <c r="AP54" s="38"/>
      <c r="AQ54" s="37"/>
    </row>
    <row r="55" spans="1:43">
      <c r="A55" s="21"/>
      <c r="B55" s="15"/>
      <c r="C55" s="86" t="s">
        <v>138</v>
      </c>
      <c r="D55" s="90"/>
      <c r="E55" s="84"/>
      <c r="F55" s="91"/>
      <c r="G55" s="87">
        <f>SUM(G52:G54)</f>
        <v>2021.8600000000001</v>
      </c>
      <c r="H55" s="30">
        <f>SUM(H52:H54)</f>
        <v>24262.32</v>
      </c>
      <c r="I55" s="30">
        <f>SUM(I52:I54)</f>
        <v>180</v>
      </c>
      <c r="J55" s="30"/>
      <c r="K55" s="30">
        <f>SUM(K52:K54)</f>
        <v>2021.8600000000001</v>
      </c>
      <c r="L55" s="30">
        <f>SUM(L52:L54)</f>
        <v>900</v>
      </c>
      <c r="M55" s="20"/>
      <c r="N55" s="20">
        <f>SUM(N52:N54)</f>
        <v>375</v>
      </c>
      <c r="O55" s="31"/>
      <c r="P55" s="20">
        <f>SUM(P52:P54)+0.01</f>
        <v>2037.03395</v>
      </c>
      <c r="Q55" s="20">
        <f>SUM(Q52:Q54)+0.01</f>
        <v>156.70415</v>
      </c>
      <c r="R55" s="20">
        <f>SUM(R52:R54)</f>
        <v>0</v>
      </c>
      <c r="S55" s="20">
        <f>SUM(S52:S54)</f>
        <v>0</v>
      </c>
      <c r="T55" s="20">
        <f>SUM(T52:T54)</f>
        <v>0</v>
      </c>
      <c r="U55" s="20">
        <f>SUM(U52:U54)+0.01</f>
        <v>1971.3234999999997</v>
      </c>
      <c r="V55" s="20">
        <f>SUM(V52:V54)</f>
        <v>151.6395</v>
      </c>
      <c r="W55" s="20"/>
      <c r="X55" s="20">
        <f>SUM(X52:X54)</f>
        <v>0</v>
      </c>
      <c r="Y55" s="20">
        <f>SUM(Y52:Y54)</f>
        <v>4008.3474500000002</v>
      </c>
      <c r="Z55" s="20">
        <f>SUM(Z52:Z54)</f>
        <v>262.84180000000003</v>
      </c>
      <c r="AA55" s="20">
        <f>SUM(AA52:AA54)</f>
        <v>20.218599999999999</v>
      </c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</row>
    <row r="56" spans="1:43">
      <c r="A56" s="21">
        <f>A54+1</f>
        <v>25</v>
      </c>
      <c r="B56" s="46" t="s">
        <v>139</v>
      </c>
      <c r="C56" s="56" t="s">
        <v>140</v>
      </c>
      <c r="D56" s="83" t="s">
        <v>141</v>
      </c>
      <c r="E56" s="84" t="s">
        <v>79</v>
      </c>
      <c r="F56" s="85" t="s">
        <v>47</v>
      </c>
      <c r="G56" s="26">
        <f>2200</f>
        <v>2200</v>
      </c>
      <c r="H56" s="32">
        <f>G56*12</f>
        <v>26400</v>
      </c>
      <c r="I56" s="32">
        <v>60</v>
      </c>
      <c r="J56" s="32" t="e">
        <v>#REF!</v>
      </c>
      <c r="K56" s="32">
        <f>G56</f>
        <v>2200</v>
      </c>
      <c r="L56" s="32">
        <v>300</v>
      </c>
      <c r="M56" s="12" t="e">
        <v>#REF!</v>
      </c>
      <c r="N56" s="24">
        <v>125</v>
      </c>
      <c r="O56" s="24"/>
      <c r="P56" s="12">
        <f>G56*0.0775*13</f>
        <v>2216.5</v>
      </c>
      <c r="Q56" s="9">
        <f>P56/13</f>
        <v>170.5</v>
      </c>
      <c r="R56" s="12"/>
      <c r="S56" s="12"/>
      <c r="T56" s="12"/>
      <c r="U56" s="12">
        <f>75*13</f>
        <v>975</v>
      </c>
      <c r="V56" s="12">
        <f>U56/13</f>
        <v>75</v>
      </c>
      <c r="W56" s="12"/>
      <c r="X56" s="12"/>
      <c r="Y56" s="12">
        <f>P56+S56+U56+W56</f>
        <v>3191.5</v>
      </c>
      <c r="Z56" s="12">
        <f>10*13</f>
        <v>130</v>
      </c>
      <c r="AA56" s="12">
        <f>Z56/13</f>
        <v>10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>
      <c r="A57" s="21">
        <f>A56+1</f>
        <v>26</v>
      </c>
      <c r="B57" s="45" t="s">
        <v>142</v>
      </c>
      <c r="C57" s="56" t="s">
        <v>143</v>
      </c>
      <c r="D57" s="83" t="s">
        <v>141</v>
      </c>
      <c r="E57" s="84" t="s">
        <v>79</v>
      </c>
      <c r="F57" s="85" t="s">
        <v>47</v>
      </c>
      <c r="G57" s="26">
        <v>500</v>
      </c>
      <c r="H57" s="32">
        <f>G57*12</f>
        <v>6000</v>
      </c>
      <c r="I57" s="32">
        <v>60</v>
      </c>
      <c r="J57" s="32"/>
      <c r="K57" s="32">
        <f>G57</f>
        <v>500</v>
      </c>
      <c r="L57" s="32">
        <v>300</v>
      </c>
      <c r="M57" s="12"/>
      <c r="N57" s="24">
        <v>125</v>
      </c>
      <c r="O57" s="24"/>
      <c r="P57" s="12">
        <f>G57*0.0775*13</f>
        <v>503.75</v>
      </c>
      <c r="Q57" s="13"/>
      <c r="R57" s="12">
        <f>P57/13</f>
        <v>38.75</v>
      </c>
      <c r="S57" s="12"/>
      <c r="T57" s="12"/>
      <c r="U57" s="12">
        <f>G57*0.075*13</f>
        <v>487.5</v>
      </c>
      <c r="V57" s="12">
        <f>U57/13</f>
        <v>37.5</v>
      </c>
      <c r="W57" s="12"/>
      <c r="X57" s="12"/>
      <c r="Y57" s="12">
        <f>P57+S57+U57+W57</f>
        <v>991.25</v>
      </c>
      <c r="Z57" s="12">
        <f>G57*0.01*13</f>
        <v>65</v>
      </c>
      <c r="AA57" s="12">
        <f>Z57/13</f>
        <v>5</v>
      </c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>
      <c r="A58" s="21"/>
      <c r="B58" s="47"/>
      <c r="C58" s="86" t="s">
        <v>144</v>
      </c>
      <c r="D58" s="90"/>
      <c r="E58" s="84"/>
      <c r="F58" s="91"/>
      <c r="G58" s="87">
        <f t="shared" ref="G58:N58" si="19">SUM(G56:G57)</f>
        <v>2700</v>
      </c>
      <c r="H58" s="30">
        <f t="shared" si="19"/>
        <v>32400</v>
      </c>
      <c r="I58" s="30">
        <f t="shared" si="19"/>
        <v>120</v>
      </c>
      <c r="J58" s="30" t="e">
        <f t="shared" si="19"/>
        <v>#REF!</v>
      </c>
      <c r="K58" s="30">
        <f t="shared" si="19"/>
        <v>2700</v>
      </c>
      <c r="L58" s="30">
        <f t="shared" si="19"/>
        <v>600</v>
      </c>
      <c r="M58" s="20" t="e">
        <f t="shared" si="19"/>
        <v>#REF!</v>
      </c>
      <c r="N58" s="31">
        <f t="shared" si="19"/>
        <v>250</v>
      </c>
      <c r="O58" s="31"/>
      <c r="P58" s="20">
        <f t="shared" ref="P58:V58" si="20">SUM(P56:P57)</f>
        <v>2720.25</v>
      </c>
      <c r="Q58" s="20">
        <f t="shared" si="20"/>
        <v>170.5</v>
      </c>
      <c r="R58" s="20">
        <f t="shared" si="20"/>
        <v>38.75</v>
      </c>
      <c r="S58" s="20">
        <f t="shared" si="20"/>
        <v>0</v>
      </c>
      <c r="T58" s="20">
        <f t="shared" si="20"/>
        <v>0</v>
      </c>
      <c r="U58" s="20">
        <f t="shared" si="20"/>
        <v>1462.5</v>
      </c>
      <c r="V58" s="20">
        <f t="shared" si="20"/>
        <v>112.5</v>
      </c>
      <c r="W58" s="20"/>
      <c r="X58" s="20">
        <f>SUM(X56:X57)</f>
        <v>0</v>
      </c>
      <c r="Y58" s="20">
        <f>SUM(Y56:Y57)</f>
        <v>4182.75</v>
      </c>
      <c r="Z58" s="20">
        <f>SUM(Z56:Z57)</f>
        <v>195</v>
      </c>
      <c r="AA58" s="20">
        <f>SUM(AA56:AA57)</f>
        <v>15</v>
      </c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</row>
    <row r="59" spans="1:43">
      <c r="A59" s="21">
        <f>A57+1</f>
        <v>27</v>
      </c>
      <c r="B59" s="46" t="s">
        <v>145</v>
      </c>
      <c r="C59" s="56" t="s">
        <v>146</v>
      </c>
      <c r="D59" s="83" t="s">
        <v>147</v>
      </c>
      <c r="E59" s="84" t="s">
        <v>79</v>
      </c>
      <c r="F59" s="85" t="s">
        <v>47</v>
      </c>
      <c r="G59" s="26">
        <v>1250</v>
      </c>
      <c r="H59" s="32">
        <f>G59*12</f>
        <v>15000</v>
      </c>
      <c r="I59" s="32">
        <v>60</v>
      </c>
      <c r="J59" s="32"/>
      <c r="K59" s="32">
        <f>G59</f>
        <v>1250</v>
      </c>
      <c r="L59" s="32">
        <v>300</v>
      </c>
      <c r="M59" s="12" t="e">
        <v>#REF!</v>
      </c>
      <c r="N59" s="24">
        <v>125</v>
      </c>
      <c r="O59" s="24"/>
      <c r="P59" s="12">
        <f>G59*0.0775*13</f>
        <v>1259.375</v>
      </c>
      <c r="Q59" s="40"/>
      <c r="R59" s="12">
        <f>P59/13</f>
        <v>96.875</v>
      </c>
      <c r="S59" s="12"/>
      <c r="T59" s="12"/>
      <c r="U59" s="12">
        <f>75*13</f>
        <v>975</v>
      </c>
      <c r="V59" s="12">
        <f>U59/13</f>
        <v>75</v>
      </c>
      <c r="W59" s="12"/>
      <c r="X59" s="12"/>
      <c r="Y59" s="12">
        <f>P59+S59+U59+W59</f>
        <v>2234.375</v>
      </c>
      <c r="Z59" s="12">
        <f>10*13</f>
        <v>130</v>
      </c>
      <c r="AA59" s="12">
        <f>Z59/13</f>
        <v>10</v>
      </c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>
      <c r="A60" s="21">
        <f>A59+1</f>
        <v>28</v>
      </c>
      <c r="B60" s="96" t="s">
        <v>148</v>
      </c>
      <c r="C60" s="56" t="s">
        <v>83</v>
      </c>
      <c r="D60" s="83" t="s">
        <v>147</v>
      </c>
      <c r="E60" s="84" t="s">
        <v>79</v>
      </c>
      <c r="F60" s="85" t="s">
        <v>47</v>
      </c>
      <c r="G60" s="26">
        <v>700</v>
      </c>
      <c r="H60" s="32">
        <f>G60*12</f>
        <v>8400</v>
      </c>
      <c r="I60" s="32">
        <v>60</v>
      </c>
      <c r="J60" s="36"/>
      <c r="K60" s="32">
        <f>G60</f>
        <v>700</v>
      </c>
      <c r="L60" s="32">
        <v>300</v>
      </c>
      <c r="M60" s="37"/>
      <c r="N60" s="24">
        <v>125</v>
      </c>
      <c r="O60" s="24"/>
      <c r="P60" s="12">
        <f>G60*0.0775*13</f>
        <v>705.25</v>
      </c>
      <c r="Q60" s="9">
        <f>P60/13</f>
        <v>54.25</v>
      </c>
      <c r="R60" s="12"/>
      <c r="S60" s="37"/>
      <c r="T60" s="37"/>
      <c r="U60" s="12">
        <f>G60*0.075*13</f>
        <v>682.5</v>
      </c>
      <c r="V60" s="12">
        <f>U60/13</f>
        <v>52.5</v>
      </c>
      <c r="W60" s="37"/>
      <c r="X60" s="37"/>
      <c r="Y60" s="12">
        <f>P60+S60+U60+W60</f>
        <v>1387.75</v>
      </c>
      <c r="Z60" s="12">
        <f>G60*0.01*13</f>
        <v>91</v>
      </c>
      <c r="AA60" s="12">
        <f>Z60/13</f>
        <v>7</v>
      </c>
      <c r="AB60" s="38"/>
      <c r="AC60" s="38"/>
      <c r="AD60" s="38"/>
      <c r="AE60" s="38"/>
      <c r="AF60" s="37"/>
      <c r="AG60" s="38"/>
      <c r="AH60" s="37"/>
      <c r="AI60" s="12"/>
      <c r="AJ60" s="38"/>
      <c r="AK60" s="38"/>
      <c r="AL60" s="38"/>
      <c r="AM60" s="12"/>
      <c r="AN60" s="12"/>
      <c r="AO60" s="12"/>
      <c r="AP60" s="38"/>
      <c r="AQ60" s="37"/>
    </row>
    <row r="61" spans="1:43">
      <c r="A61" s="21"/>
      <c r="B61" s="15"/>
      <c r="C61" s="86" t="s">
        <v>149</v>
      </c>
      <c r="D61" s="90"/>
      <c r="E61" s="84"/>
      <c r="F61" s="91"/>
      <c r="G61" s="87">
        <f>SUM(G59:G60)</f>
        <v>1950</v>
      </c>
      <c r="H61" s="30">
        <f>SUM(H59:H60)</f>
        <v>23400</v>
      </c>
      <c r="I61" s="30">
        <f>SUM(I59:I60)</f>
        <v>120</v>
      </c>
      <c r="J61" s="30"/>
      <c r="K61" s="30">
        <f>SUM(K59:K60)</f>
        <v>1950</v>
      </c>
      <c r="L61" s="30">
        <f>SUM(L59:L60)</f>
        <v>600</v>
      </c>
      <c r="M61" s="20" t="e">
        <f>SUM(M59:M60)</f>
        <v>#REF!</v>
      </c>
      <c r="N61" s="20">
        <f>SUM(N59:N60)</f>
        <v>250</v>
      </c>
      <c r="O61" s="31"/>
      <c r="P61" s="20">
        <f>SUM(P59:P60)+0.01</f>
        <v>1964.635</v>
      </c>
      <c r="Q61" s="20">
        <f t="shared" ref="Q61:V61" si="21">SUM(Q59:Q60)</f>
        <v>54.25</v>
      </c>
      <c r="R61" s="20">
        <f t="shared" si="21"/>
        <v>96.875</v>
      </c>
      <c r="S61" s="20">
        <f t="shared" si="21"/>
        <v>0</v>
      </c>
      <c r="T61" s="20">
        <f t="shared" si="21"/>
        <v>0</v>
      </c>
      <c r="U61" s="20">
        <f t="shared" si="21"/>
        <v>1657.5</v>
      </c>
      <c r="V61" s="20">
        <f t="shared" si="21"/>
        <v>127.5</v>
      </c>
      <c r="W61" s="20"/>
      <c r="X61" s="20">
        <f>SUM(X59:X60)</f>
        <v>0</v>
      </c>
      <c r="Y61" s="20">
        <f>SUM(Y59:Y60)+0.01</f>
        <v>3622.1350000000002</v>
      </c>
      <c r="Z61" s="20">
        <f>SUM(Z59:Z60)</f>
        <v>221</v>
      </c>
      <c r="AA61" s="20">
        <f>SUM(AA59:AA60)</f>
        <v>17</v>
      </c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</row>
    <row r="62" spans="1:43">
      <c r="A62" s="21">
        <f>A60+1</f>
        <v>29</v>
      </c>
      <c r="B62" s="45" t="s">
        <v>150</v>
      </c>
      <c r="C62" s="56" t="s">
        <v>151</v>
      </c>
      <c r="D62" s="83" t="s">
        <v>152</v>
      </c>
      <c r="E62" s="84" t="s">
        <v>79</v>
      </c>
      <c r="F62" s="85" t="s">
        <v>47</v>
      </c>
      <c r="G62" s="26">
        <f>1037+30+50</f>
        <v>1117</v>
      </c>
      <c r="H62" s="32">
        <f>G62*12</f>
        <v>13404</v>
      </c>
      <c r="I62" s="32">
        <v>60</v>
      </c>
      <c r="J62" s="32"/>
      <c r="K62" s="32">
        <f>G62</f>
        <v>1117</v>
      </c>
      <c r="L62" s="32">
        <v>300</v>
      </c>
      <c r="M62" s="12"/>
      <c r="N62" s="24">
        <v>125</v>
      </c>
      <c r="O62" s="24"/>
      <c r="P62" s="12">
        <f>G62*0.0775*13</f>
        <v>1125.3775000000001</v>
      </c>
      <c r="Q62" s="9"/>
      <c r="R62" s="12">
        <f>P62/13</f>
        <v>86.56750000000001</v>
      </c>
      <c r="S62" s="12"/>
      <c r="T62" s="12"/>
      <c r="U62" s="12">
        <f>75*13</f>
        <v>975</v>
      </c>
      <c r="V62" s="12">
        <f>U62/13</f>
        <v>75</v>
      </c>
      <c r="W62" s="12"/>
      <c r="X62" s="12"/>
      <c r="Y62" s="12">
        <f>P62+S62+U62+W62</f>
        <v>2100.3775000000001</v>
      </c>
      <c r="Z62" s="12">
        <f>10*13</f>
        <v>130</v>
      </c>
      <c r="AA62" s="12">
        <f>Z62/13</f>
        <v>10</v>
      </c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3">
      <c r="A63" s="21">
        <f>A62+1</f>
        <v>30</v>
      </c>
      <c r="B63" s="42" t="s">
        <v>153</v>
      </c>
      <c r="C63" s="56" t="s">
        <v>143</v>
      </c>
      <c r="D63" s="83" t="s">
        <v>152</v>
      </c>
      <c r="E63" s="84" t="s">
        <v>79</v>
      </c>
      <c r="F63" s="85" t="s">
        <v>47</v>
      </c>
      <c r="G63" s="26">
        <v>467</v>
      </c>
      <c r="H63" s="32">
        <f>G63*12</f>
        <v>5604</v>
      </c>
      <c r="I63" s="32">
        <v>60</v>
      </c>
      <c r="J63" s="32"/>
      <c r="K63" s="32">
        <f>G63</f>
        <v>467</v>
      </c>
      <c r="L63" s="32">
        <v>300</v>
      </c>
      <c r="M63" s="12"/>
      <c r="N63" s="24">
        <v>125</v>
      </c>
      <c r="O63" s="24"/>
      <c r="P63" s="12">
        <f>G63*0.0775*13</f>
        <v>470.50250000000005</v>
      </c>
      <c r="Q63" s="40"/>
      <c r="R63" s="12">
        <f>P63/13</f>
        <v>36.192500000000003</v>
      </c>
      <c r="S63" s="12"/>
      <c r="T63" s="12"/>
      <c r="U63" s="12">
        <f>G63*0.075*13</f>
        <v>455.32499999999999</v>
      </c>
      <c r="V63" s="12">
        <f>U63/13</f>
        <v>35.024999999999999</v>
      </c>
      <c r="W63" s="12"/>
      <c r="X63" s="12"/>
      <c r="Y63" s="12">
        <f>P63+S63+U63+W63</f>
        <v>925.8275000000001</v>
      </c>
      <c r="Z63" s="12">
        <f>G63*0.01*13</f>
        <v>60.71</v>
      </c>
      <c r="AA63" s="12">
        <f>Z63/13</f>
        <v>4.67</v>
      </c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3">
      <c r="A64" s="21">
        <f>A63+1</f>
        <v>31</v>
      </c>
      <c r="B64" s="97" t="s">
        <v>154</v>
      </c>
      <c r="C64" s="56" t="s">
        <v>91</v>
      </c>
      <c r="D64" s="83" t="s">
        <v>152</v>
      </c>
      <c r="E64" s="84" t="s">
        <v>79</v>
      </c>
      <c r="F64" s="85" t="s">
        <v>47</v>
      </c>
      <c r="G64" s="26">
        <v>417</v>
      </c>
      <c r="H64" s="32">
        <f>G64*12</f>
        <v>5004</v>
      </c>
      <c r="I64" s="32">
        <v>60</v>
      </c>
      <c r="J64" s="32"/>
      <c r="K64" s="32">
        <f>G64</f>
        <v>417</v>
      </c>
      <c r="L64" s="32">
        <v>300</v>
      </c>
      <c r="M64" s="12"/>
      <c r="N64" s="24">
        <v>125</v>
      </c>
      <c r="O64" s="24"/>
      <c r="P64" s="12">
        <f>G64*0.0775*13</f>
        <v>420.12750000000005</v>
      </c>
      <c r="Q64" s="40"/>
      <c r="R64" s="12">
        <f>P64/13</f>
        <v>32.317500000000003</v>
      </c>
      <c r="S64" s="12"/>
      <c r="T64" s="12"/>
      <c r="U64" s="12">
        <f>G64*0.075*13</f>
        <v>406.57499999999999</v>
      </c>
      <c r="V64" s="12">
        <f>U64/13</f>
        <v>31.274999999999999</v>
      </c>
      <c r="W64" s="12"/>
      <c r="X64" s="12"/>
      <c r="Y64" s="12">
        <f>P64+S64+U64+W64+0.01</f>
        <v>826.71250000000009</v>
      </c>
      <c r="Z64" s="12">
        <f>G64*0.01*13</f>
        <v>54.21</v>
      </c>
      <c r="AA64" s="12">
        <f>Z64/13</f>
        <v>4.17</v>
      </c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>
      <c r="A65" s="21"/>
      <c r="B65" s="15"/>
      <c r="C65" s="86" t="s">
        <v>155</v>
      </c>
      <c r="D65" s="83"/>
      <c r="E65" s="84"/>
      <c r="F65" s="85"/>
      <c r="G65" s="87">
        <f>SUM(G62:G64)</f>
        <v>2001</v>
      </c>
      <c r="H65" s="30">
        <f>SUM(H62:H64)</f>
        <v>24012</v>
      </c>
      <c r="I65" s="30">
        <f>SUM(I62:I64)</f>
        <v>180</v>
      </c>
      <c r="J65" s="30"/>
      <c r="K65" s="30">
        <f>SUM(K62:K64)</f>
        <v>2001</v>
      </c>
      <c r="L65" s="30">
        <f>SUM(L62:L64)</f>
        <v>900</v>
      </c>
      <c r="M65" s="20"/>
      <c r="N65" s="20">
        <f>SUM(N62:N64)</f>
        <v>375</v>
      </c>
      <c r="O65" s="31"/>
      <c r="P65" s="20">
        <f>SUM(P62:P64)</f>
        <v>2016.0075000000002</v>
      </c>
      <c r="Q65" s="20">
        <f>SUM(Q62:Q64)</f>
        <v>0</v>
      </c>
      <c r="R65" s="20">
        <f>SUM(R62:R64)</f>
        <v>155.07750000000001</v>
      </c>
      <c r="S65" s="20">
        <f>SUM(S62:S64)</f>
        <v>0</v>
      </c>
      <c r="T65" s="20">
        <f>SUM(T62:T64)</f>
        <v>0</v>
      </c>
      <c r="U65" s="20">
        <f>SUM(U62:U64)+0.01</f>
        <v>1836.91</v>
      </c>
      <c r="V65" s="20">
        <f>SUM(V62:V64)+0.01</f>
        <v>141.31</v>
      </c>
      <c r="W65" s="20">
        <f>SUM(W62:W64)</f>
        <v>0</v>
      </c>
      <c r="X65" s="20">
        <f>SUM(X62:X64)</f>
        <v>0</v>
      </c>
      <c r="Y65" s="20">
        <f>SUM(Y62:Y64)</f>
        <v>3852.9175</v>
      </c>
      <c r="Z65" s="20">
        <f>SUM(Z62:Z64)</f>
        <v>244.92000000000002</v>
      </c>
      <c r="AA65" s="20">
        <f>SUM(AA62:AA64)</f>
        <v>18.84</v>
      </c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</row>
    <row r="66" spans="1:43">
      <c r="A66" s="21">
        <f>A64+1</f>
        <v>32</v>
      </c>
      <c r="B66" s="45" t="s">
        <v>156</v>
      </c>
      <c r="C66" s="56" t="s">
        <v>157</v>
      </c>
      <c r="D66" s="83" t="s">
        <v>158</v>
      </c>
      <c r="E66" s="84" t="s">
        <v>79</v>
      </c>
      <c r="F66" s="85" t="s">
        <v>47</v>
      </c>
      <c r="G66" s="26">
        <f>1000</f>
        <v>1000</v>
      </c>
      <c r="H66" s="32">
        <f>G66*12</f>
        <v>12000</v>
      </c>
      <c r="I66" s="32">
        <v>60</v>
      </c>
      <c r="J66" s="32"/>
      <c r="K66" s="32">
        <f>G66</f>
        <v>1000</v>
      </c>
      <c r="L66" s="32">
        <v>300</v>
      </c>
      <c r="M66" s="12"/>
      <c r="N66" s="24">
        <v>125</v>
      </c>
      <c r="O66" s="24"/>
      <c r="P66" s="12">
        <f>G66*0.0775*13</f>
        <v>1007.5</v>
      </c>
      <c r="Q66" s="9"/>
      <c r="R66" s="12">
        <f>P66/13</f>
        <v>77.5</v>
      </c>
      <c r="S66" s="12"/>
      <c r="T66" s="12"/>
      <c r="U66" s="12">
        <f>75*13</f>
        <v>975</v>
      </c>
      <c r="V66" s="12">
        <f>U66/13</f>
        <v>75</v>
      </c>
      <c r="W66" s="12"/>
      <c r="X66" s="12"/>
      <c r="Y66" s="12">
        <f>P66+S66+U66+W66</f>
        <v>1982.5</v>
      </c>
      <c r="Z66" s="12">
        <f>10*13</f>
        <v>130</v>
      </c>
      <c r="AA66" s="12">
        <f>Z66/13</f>
        <v>10</v>
      </c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>
      <c r="A67" s="21">
        <f>A66+1</f>
        <v>33</v>
      </c>
      <c r="B67" s="42" t="s">
        <v>159</v>
      </c>
      <c r="C67" s="56" t="s">
        <v>160</v>
      </c>
      <c r="D67" s="83" t="s">
        <v>158</v>
      </c>
      <c r="E67" s="84" t="s">
        <v>79</v>
      </c>
      <c r="F67" s="85" t="s">
        <v>47</v>
      </c>
      <c r="G67" s="26">
        <v>900</v>
      </c>
      <c r="H67" s="32">
        <f>G67*12</f>
        <v>10800</v>
      </c>
      <c r="I67" s="32">
        <v>60</v>
      </c>
      <c r="J67" s="32"/>
      <c r="K67" s="32">
        <f>G67</f>
        <v>900</v>
      </c>
      <c r="L67" s="32">
        <v>300</v>
      </c>
      <c r="M67" s="12"/>
      <c r="N67" s="24">
        <v>125</v>
      </c>
      <c r="O67" s="24"/>
      <c r="P67" s="12">
        <f>G67*0.0775*13</f>
        <v>906.75</v>
      </c>
      <c r="Q67" s="9"/>
      <c r="R67" s="12">
        <f>P67/13</f>
        <v>69.75</v>
      </c>
      <c r="S67" s="12"/>
      <c r="T67" s="12"/>
      <c r="U67" s="12">
        <f>G67*0.075*13</f>
        <v>877.5</v>
      </c>
      <c r="V67" s="12">
        <f>U67/13</f>
        <v>67.5</v>
      </c>
      <c r="W67" s="12"/>
      <c r="X67" s="12"/>
      <c r="Y67" s="12">
        <f>P67+S67+U67+W67</f>
        <v>1784.25</v>
      </c>
      <c r="Z67" s="12">
        <f>10*13</f>
        <v>130</v>
      </c>
      <c r="AA67" s="12">
        <f>Z67/13</f>
        <v>10</v>
      </c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>
      <c r="A68" s="21">
        <f>A67+1</f>
        <v>34</v>
      </c>
      <c r="B68" s="45" t="s">
        <v>161</v>
      </c>
      <c r="C68" s="51" t="s">
        <v>162</v>
      </c>
      <c r="D68" s="83" t="s">
        <v>158</v>
      </c>
      <c r="E68" s="84" t="s">
        <v>79</v>
      </c>
      <c r="F68" s="85" t="s">
        <v>47</v>
      </c>
      <c r="G68" s="26">
        <v>662.29</v>
      </c>
      <c r="H68" s="32">
        <f>G68*12</f>
        <v>7947.48</v>
      </c>
      <c r="I68" s="32">
        <v>60</v>
      </c>
      <c r="J68" s="36"/>
      <c r="K68" s="32">
        <f>G68</f>
        <v>662.29</v>
      </c>
      <c r="L68" s="32">
        <v>300</v>
      </c>
      <c r="M68" s="37"/>
      <c r="N68" s="24">
        <v>125</v>
      </c>
      <c r="O68" s="24"/>
      <c r="P68" s="12">
        <f>G68*0.0775*13</f>
        <v>667.25717499999996</v>
      </c>
      <c r="Q68" s="40"/>
      <c r="R68" s="12">
        <f>P68/13</f>
        <v>51.327475</v>
      </c>
      <c r="S68" s="37"/>
      <c r="T68" s="37"/>
      <c r="U68" s="12">
        <f>G68*0.075*13</f>
        <v>645.7327499999999</v>
      </c>
      <c r="V68" s="12">
        <f>U68/13</f>
        <v>49.671749999999989</v>
      </c>
      <c r="W68" s="37"/>
      <c r="X68" s="37"/>
      <c r="Y68" s="12">
        <f>P68+S68+U68+W68</f>
        <v>1312.9899249999999</v>
      </c>
      <c r="Z68" s="12">
        <f>G68*0.01*13</f>
        <v>86.097699999999989</v>
      </c>
      <c r="AA68" s="12">
        <f>Z68/13</f>
        <v>6.6228999999999996</v>
      </c>
      <c r="AB68" s="38"/>
      <c r="AC68" s="38"/>
      <c r="AD68" s="38"/>
      <c r="AE68" s="38"/>
      <c r="AF68" s="37"/>
      <c r="AG68" s="38"/>
      <c r="AH68" s="37"/>
      <c r="AI68" s="12"/>
      <c r="AJ68" s="38"/>
      <c r="AK68" s="38"/>
      <c r="AL68" s="38"/>
      <c r="AM68" s="12"/>
      <c r="AN68" s="12"/>
      <c r="AO68" s="12"/>
      <c r="AP68" s="38"/>
      <c r="AQ68" s="37"/>
    </row>
    <row r="69" spans="1:43">
      <c r="A69" s="21"/>
      <c r="B69" s="15"/>
      <c r="C69" s="86" t="s">
        <v>163</v>
      </c>
      <c r="D69" s="83"/>
      <c r="E69" s="98"/>
      <c r="F69" s="91"/>
      <c r="G69" s="87">
        <f>SUM(G66:G68)</f>
        <v>2562.29</v>
      </c>
      <c r="H69" s="30">
        <f>SUM(H66:H68)</f>
        <v>30747.48</v>
      </c>
      <c r="I69" s="30">
        <f>SUM(I66:I68)</f>
        <v>180</v>
      </c>
      <c r="J69" s="30"/>
      <c r="K69" s="30">
        <f>SUM(K66:K68)</f>
        <v>2562.29</v>
      </c>
      <c r="L69" s="30">
        <f>SUM(L66:L68)</f>
        <v>900</v>
      </c>
      <c r="M69" s="20"/>
      <c r="N69" s="20">
        <f>SUM(N66:N68)</f>
        <v>375</v>
      </c>
      <c r="O69" s="31"/>
      <c r="P69" s="20">
        <f t="shared" ref="P69:AA69" si="22">SUM(P66:P68)</f>
        <v>2581.5071749999997</v>
      </c>
      <c r="Q69" s="20">
        <f t="shared" si="22"/>
        <v>0</v>
      </c>
      <c r="R69" s="20">
        <f t="shared" si="22"/>
        <v>198.57747499999999</v>
      </c>
      <c r="S69" s="20">
        <f t="shared" si="22"/>
        <v>0</v>
      </c>
      <c r="T69" s="20">
        <f t="shared" si="22"/>
        <v>0</v>
      </c>
      <c r="U69" s="20">
        <f t="shared" si="22"/>
        <v>2498.2327500000001</v>
      </c>
      <c r="V69" s="20">
        <f t="shared" si="22"/>
        <v>192.17174999999997</v>
      </c>
      <c r="W69" s="20">
        <f t="shared" si="22"/>
        <v>0</v>
      </c>
      <c r="X69" s="20">
        <f t="shared" si="22"/>
        <v>0</v>
      </c>
      <c r="Y69" s="20">
        <f t="shared" si="22"/>
        <v>5079.7399249999999</v>
      </c>
      <c r="Z69" s="20">
        <f t="shared" si="22"/>
        <v>346.09769999999997</v>
      </c>
      <c r="AA69" s="20">
        <f t="shared" si="22"/>
        <v>26.622900000000001</v>
      </c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</row>
    <row r="70" spans="1:43" ht="37.5" customHeight="1">
      <c r="A70" s="21">
        <f>A68+1</f>
        <v>35</v>
      </c>
      <c r="B70" s="51" t="s">
        <v>164</v>
      </c>
      <c r="C70" s="53" t="s">
        <v>165</v>
      </c>
      <c r="D70" s="83" t="s">
        <v>166</v>
      </c>
      <c r="E70" s="84" t="s">
        <v>79</v>
      </c>
      <c r="F70" s="85" t="s">
        <v>47</v>
      </c>
      <c r="G70" s="26">
        <v>1000</v>
      </c>
      <c r="H70" s="32">
        <f>G70*12</f>
        <v>12000</v>
      </c>
      <c r="I70" s="32">
        <v>60</v>
      </c>
      <c r="J70" s="32"/>
      <c r="K70" s="32">
        <f>G70</f>
        <v>1000</v>
      </c>
      <c r="L70" s="32">
        <v>300</v>
      </c>
      <c r="M70" s="12">
        <v>1000</v>
      </c>
      <c r="N70" s="24">
        <v>125</v>
      </c>
      <c r="O70" s="24"/>
      <c r="P70" s="12">
        <f>G70*0.0775*13</f>
        <v>1007.5</v>
      </c>
      <c r="Q70" s="9"/>
      <c r="R70" s="12">
        <f>P70/13</f>
        <v>77.5</v>
      </c>
      <c r="S70" s="12"/>
      <c r="T70" s="12"/>
      <c r="U70" s="12">
        <f>G70*0.075*13</f>
        <v>975</v>
      </c>
      <c r="V70" s="12">
        <f>U70/13</f>
        <v>75</v>
      </c>
      <c r="W70" s="12"/>
      <c r="X70" s="12"/>
      <c r="Y70" s="12">
        <f>P70+S70+U70+W70</f>
        <v>1982.5</v>
      </c>
      <c r="Z70" s="12">
        <f>G70*0.01*13</f>
        <v>130</v>
      </c>
      <c r="AA70" s="12">
        <f>Z70/13</f>
        <v>10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ht="38.25" customHeight="1">
      <c r="A71" s="21">
        <f>A70+1</f>
        <v>36</v>
      </c>
      <c r="B71" s="45" t="s">
        <v>167</v>
      </c>
      <c r="C71" s="56" t="s">
        <v>110</v>
      </c>
      <c r="D71" s="83" t="s">
        <v>166</v>
      </c>
      <c r="E71" s="84" t="s">
        <v>79</v>
      </c>
      <c r="F71" s="85" t="s">
        <v>47</v>
      </c>
      <c r="G71" s="26">
        <f>572+30+50</f>
        <v>652</v>
      </c>
      <c r="H71" s="32">
        <f>G71*12</f>
        <v>7824</v>
      </c>
      <c r="I71" s="32">
        <v>60</v>
      </c>
      <c r="J71" s="32"/>
      <c r="K71" s="32">
        <f>G71</f>
        <v>652</v>
      </c>
      <c r="L71" s="32">
        <v>300</v>
      </c>
      <c r="M71" s="12"/>
      <c r="N71" s="24">
        <v>125</v>
      </c>
      <c r="O71" s="24"/>
      <c r="P71" s="12">
        <f>G71*0.0775*13</f>
        <v>656.89</v>
      </c>
      <c r="Q71" s="9"/>
      <c r="R71" s="12">
        <f>P71/13</f>
        <v>50.53</v>
      </c>
      <c r="S71" s="12"/>
      <c r="T71" s="12"/>
      <c r="U71" s="12">
        <f>G71*0.075*13</f>
        <v>635.69999999999993</v>
      </c>
      <c r="V71" s="12">
        <f>U71/13</f>
        <v>48.899999999999991</v>
      </c>
      <c r="W71" s="12"/>
      <c r="X71" s="12"/>
      <c r="Y71" s="12">
        <f>P71+S71+U71+W71</f>
        <v>1292.5899999999999</v>
      </c>
      <c r="Z71" s="12">
        <f>G71*0.01*13</f>
        <v>84.76</v>
      </c>
      <c r="AA71" s="12">
        <f>Z71/13</f>
        <v>6.5200000000000005</v>
      </c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ht="39.75" customHeight="1">
      <c r="A72" s="21">
        <f>A71+1</f>
        <v>37</v>
      </c>
      <c r="B72" s="45" t="s">
        <v>168</v>
      </c>
      <c r="C72" s="56" t="s">
        <v>83</v>
      </c>
      <c r="D72" s="83" t="s">
        <v>166</v>
      </c>
      <c r="E72" s="84" t="s">
        <v>79</v>
      </c>
      <c r="F72" s="85" t="s">
        <v>47</v>
      </c>
      <c r="G72" s="26">
        <f>547+30+50</f>
        <v>627</v>
      </c>
      <c r="H72" s="32">
        <f>G72*12</f>
        <v>7524</v>
      </c>
      <c r="I72" s="32">
        <v>60</v>
      </c>
      <c r="J72" s="32"/>
      <c r="K72" s="32">
        <f>G72</f>
        <v>627</v>
      </c>
      <c r="L72" s="32">
        <v>300</v>
      </c>
      <c r="M72" s="12"/>
      <c r="N72" s="24">
        <v>125</v>
      </c>
      <c r="O72" s="24"/>
      <c r="P72" s="12">
        <f>G72*0.0775*13</f>
        <v>631.70249999999999</v>
      </c>
      <c r="Q72" s="12"/>
      <c r="R72" s="12">
        <f>P72/13</f>
        <v>48.592500000000001</v>
      </c>
      <c r="S72" s="12"/>
      <c r="T72" s="12"/>
      <c r="U72" s="12">
        <f>G72*0.075*13</f>
        <v>611.32499999999993</v>
      </c>
      <c r="V72" s="12">
        <f>U72/13</f>
        <v>47.024999999999991</v>
      </c>
      <c r="W72" s="12"/>
      <c r="X72" s="12"/>
      <c r="Y72" s="12">
        <f>P72+S72+U72+W72</f>
        <v>1243.0274999999999</v>
      </c>
      <c r="Z72" s="12">
        <f>G72*0.01*13</f>
        <v>81.510000000000005</v>
      </c>
      <c r="AA72" s="12">
        <f>Z72/13</f>
        <v>6.2700000000000005</v>
      </c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ht="38.25" customHeight="1">
      <c r="A73" s="21">
        <f>A72+1</f>
        <v>38</v>
      </c>
      <c r="B73" s="42" t="s">
        <v>169</v>
      </c>
      <c r="C73" s="56" t="s">
        <v>123</v>
      </c>
      <c r="D73" s="83" t="s">
        <v>166</v>
      </c>
      <c r="E73" s="84" t="s">
        <v>79</v>
      </c>
      <c r="F73" s="85" t="s">
        <v>47</v>
      </c>
      <c r="G73" s="26">
        <v>417</v>
      </c>
      <c r="H73" s="32">
        <f>G73*12</f>
        <v>5004</v>
      </c>
      <c r="I73" s="32">
        <v>60</v>
      </c>
      <c r="J73" s="32"/>
      <c r="K73" s="32">
        <f>G73</f>
        <v>417</v>
      </c>
      <c r="L73" s="32">
        <v>300</v>
      </c>
      <c r="M73" s="12"/>
      <c r="N73" s="24">
        <v>125</v>
      </c>
      <c r="O73" s="24"/>
      <c r="P73" s="12">
        <f>G73*0.0775*13</f>
        <v>420.12750000000005</v>
      </c>
      <c r="Q73" s="9">
        <f>P73/13</f>
        <v>32.317500000000003</v>
      </c>
      <c r="R73" s="12"/>
      <c r="S73" s="37"/>
      <c r="T73" s="37"/>
      <c r="U73" s="12">
        <f>G73*0.075*13</f>
        <v>406.57499999999999</v>
      </c>
      <c r="V73" s="12">
        <f>U73/13</f>
        <v>31.274999999999999</v>
      </c>
      <c r="W73" s="37"/>
      <c r="X73" s="37"/>
      <c r="Y73" s="12">
        <f>P73+S73+U73+W73+0.01</f>
        <v>826.71250000000009</v>
      </c>
      <c r="Z73" s="12">
        <f>G73*0.01*13</f>
        <v>54.21</v>
      </c>
      <c r="AA73" s="12">
        <f>Z73/13</f>
        <v>4.17</v>
      </c>
      <c r="AB73" s="12"/>
      <c r="AC73" s="12"/>
      <c r="AD73" s="12"/>
      <c r="AE73" s="12"/>
      <c r="AF73" s="37"/>
      <c r="AG73" s="12"/>
      <c r="AH73" s="37"/>
      <c r="AI73" s="12"/>
      <c r="AJ73" s="12"/>
      <c r="AK73" s="12"/>
      <c r="AL73" s="12"/>
      <c r="AM73" s="12"/>
      <c r="AN73" s="12"/>
      <c r="AO73" s="12"/>
      <c r="AP73" s="12"/>
      <c r="AQ73" s="37"/>
    </row>
    <row r="74" spans="1:43">
      <c r="A74" s="21"/>
      <c r="B74" s="15"/>
      <c r="C74" s="86" t="s">
        <v>170</v>
      </c>
      <c r="D74" s="83"/>
      <c r="E74" s="84"/>
      <c r="F74" s="85"/>
      <c r="G74" s="87">
        <f>SUM(G70:G73)</f>
        <v>2696</v>
      </c>
      <c r="H74" s="30">
        <f>SUM(H70:H73)</f>
        <v>32352</v>
      </c>
      <c r="I74" s="30">
        <f>SUM(I70:I73)</f>
        <v>240</v>
      </c>
      <c r="J74" s="32"/>
      <c r="K74" s="30">
        <f t="shared" ref="K74:AA74" si="23">SUM(K70:K73)</f>
        <v>2696</v>
      </c>
      <c r="L74" s="30">
        <f t="shared" si="23"/>
        <v>1200</v>
      </c>
      <c r="M74" s="20">
        <f t="shared" si="23"/>
        <v>1000</v>
      </c>
      <c r="N74" s="20">
        <f t="shared" si="23"/>
        <v>500</v>
      </c>
      <c r="O74" s="20">
        <f t="shared" si="23"/>
        <v>0</v>
      </c>
      <c r="P74" s="20">
        <f>SUM(P70:P73)</f>
        <v>2716.22</v>
      </c>
      <c r="Q74" s="20">
        <f t="shared" si="23"/>
        <v>32.317500000000003</v>
      </c>
      <c r="R74" s="20">
        <f>SUM(R70:R73)-0.01</f>
        <v>176.61250000000001</v>
      </c>
      <c r="S74" s="20">
        <f>SUM(S70:S73)</f>
        <v>0</v>
      </c>
      <c r="T74" s="20">
        <f>SUM(T70:T73)</f>
        <v>0</v>
      </c>
      <c r="U74" s="20">
        <f>SUM(U70:U73)+0.01</f>
        <v>2628.6099999999997</v>
      </c>
      <c r="V74" s="20">
        <f>SUM(V70:V73)+0.01</f>
        <v>202.20999999999998</v>
      </c>
      <c r="W74" s="20">
        <f t="shared" si="23"/>
        <v>0</v>
      </c>
      <c r="X74" s="20">
        <f t="shared" si="23"/>
        <v>0</v>
      </c>
      <c r="Y74" s="20">
        <f>SUM(Y70:Y73)</f>
        <v>5344.83</v>
      </c>
      <c r="Z74" s="20">
        <f t="shared" si="23"/>
        <v>350.47999999999996</v>
      </c>
      <c r="AA74" s="20">
        <f t="shared" si="23"/>
        <v>26.96</v>
      </c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20"/>
      <c r="AN74" s="20"/>
      <c r="AO74" s="20"/>
      <c r="AP74" s="12"/>
      <c r="AQ74" s="12"/>
    </row>
    <row r="75" spans="1:43" ht="41.25" customHeight="1">
      <c r="A75" s="21">
        <f>A73+1</f>
        <v>39</v>
      </c>
      <c r="B75" s="45" t="s">
        <v>171</v>
      </c>
      <c r="C75" s="99" t="s">
        <v>172</v>
      </c>
      <c r="D75" s="88" t="s">
        <v>173</v>
      </c>
      <c r="E75" s="84" t="s">
        <v>79</v>
      </c>
      <c r="F75" s="85" t="s">
        <v>47</v>
      </c>
      <c r="G75" s="26">
        <f>700+50</f>
        <v>750</v>
      </c>
      <c r="H75" s="32">
        <f>G75*12</f>
        <v>9000</v>
      </c>
      <c r="I75" s="32">
        <v>60</v>
      </c>
      <c r="J75" s="36"/>
      <c r="K75" s="32">
        <f>G75</f>
        <v>750</v>
      </c>
      <c r="L75" s="32">
        <v>300</v>
      </c>
      <c r="M75" s="37"/>
      <c r="N75" s="24">
        <v>125</v>
      </c>
      <c r="O75" s="24"/>
      <c r="P75" s="12">
        <f>G75*0.0775*13</f>
        <v>755.625</v>
      </c>
      <c r="Q75" s="9">
        <f>P75/13</f>
        <v>58.125</v>
      </c>
      <c r="R75" s="12"/>
      <c r="S75" s="12"/>
      <c r="T75" s="12"/>
      <c r="U75" s="12">
        <f>G75*0.075*13</f>
        <v>731.25</v>
      </c>
      <c r="V75" s="12">
        <f>U75/13</f>
        <v>56.25</v>
      </c>
      <c r="W75" s="12"/>
      <c r="X75" s="12"/>
      <c r="Y75" s="12">
        <f>P75+S75+U75+W75</f>
        <v>1486.875</v>
      </c>
      <c r="Z75" s="12">
        <f>G75*0.01*13</f>
        <v>97.5</v>
      </c>
      <c r="AA75" s="12">
        <f>Z75/13</f>
        <v>7.5</v>
      </c>
      <c r="AB75" s="38"/>
      <c r="AC75" s="38"/>
      <c r="AD75" s="38"/>
      <c r="AE75" s="38"/>
      <c r="AF75" s="37"/>
      <c r="AG75" s="38"/>
      <c r="AH75" s="37"/>
      <c r="AI75" s="12"/>
      <c r="AJ75" s="38"/>
      <c r="AK75" s="38"/>
      <c r="AL75" s="38"/>
      <c r="AM75" s="12"/>
      <c r="AN75" s="12"/>
      <c r="AO75" s="12"/>
      <c r="AP75" s="38"/>
      <c r="AQ75" s="37"/>
    </row>
    <row r="76" spans="1:43" ht="23.25">
      <c r="A76" s="21">
        <f>A75+1</f>
        <v>40</v>
      </c>
      <c r="B76" s="27" t="s">
        <v>174</v>
      </c>
      <c r="C76" s="56" t="s">
        <v>175</v>
      </c>
      <c r="D76" s="88" t="s">
        <v>173</v>
      </c>
      <c r="E76" s="84" t="s">
        <v>79</v>
      </c>
      <c r="F76" s="85" t="s">
        <v>47</v>
      </c>
      <c r="G76" s="26">
        <v>500</v>
      </c>
      <c r="H76" s="32">
        <f t="shared" ref="H76:H86" si="24">G76*12</f>
        <v>6000</v>
      </c>
      <c r="I76" s="32">
        <v>60</v>
      </c>
      <c r="J76" s="32"/>
      <c r="K76" s="32">
        <f t="shared" ref="K76:K86" si="25">G76</f>
        <v>500</v>
      </c>
      <c r="L76" s="32">
        <v>300</v>
      </c>
      <c r="M76" s="12"/>
      <c r="N76" s="24">
        <v>125</v>
      </c>
      <c r="O76" s="24"/>
      <c r="P76" s="12">
        <f t="shared" ref="P76:P86" si="26">G76*0.0775*13</f>
        <v>503.75</v>
      </c>
      <c r="Q76" s="9"/>
      <c r="R76" s="12">
        <f>P76/13</f>
        <v>38.75</v>
      </c>
      <c r="S76" s="12"/>
      <c r="T76" s="12"/>
      <c r="U76" s="12">
        <f t="shared" ref="U76:U89" si="27">G76*0.075*13</f>
        <v>487.5</v>
      </c>
      <c r="V76" s="12">
        <f t="shared" ref="V76:V86" si="28">U76/13</f>
        <v>37.5</v>
      </c>
      <c r="W76" s="12"/>
      <c r="X76" s="12"/>
      <c r="Y76" s="12">
        <f t="shared" ref="Y76:Y83" si="29">P76+S76+U76+W76</f>
        <v>991.25</v>
      </c>
      <c r="Z76" s="12">
        <f t="shared" ref="Z76:Z86" si="30">G76*0.01*13</f>
        <v>65</v>
      </c>
      <c r="AA76" s="12">
        <f t="shared" ref="AA76:AA86" si="31">Z76/13</f>
        <v>5</v>
      </c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ht="23.25">
      <c r="A77" s="21">
        <f t="shared" ref="A77:A86" si="32">A76+1</f>
        <v>41</v>
      </c>
      <c r="B77" s="45" t="s">
        <v>176</v>
      </c>
      <c r="C77" s="56" t="s">
        <v>177</v>
      </c>
      <c r="D77" s="88" t="s">
        <v>173</v>
      </c>
      <c r="E77" s="84" t="s">
        <v>79</v>
      </c>
      <c r="F77" s="85" t="s">
        <v>47</v>
      </c>
      <c r="G77" s="26">
        <f>582.29+30+50</f>
        <v>662.29</v>
      </c>
      <c r="H77" s="32">
        <f>G77*12</f>
        <v>7947.48</v>
      </c>
      <c r="I77" s="32">
        <v>60</v>
      </c>
      <c r="J77" s="36"/>
      <c r="K77" s="32">
        <f>G77</f>
        <v>662.29</v>
      </c>
      <c r="L77" s="32">
        <v>300</v>
      </c>
      <c r="M77" s="37"/>
      <c r="N77" s="24">
        <v>125</v>
      </c>
      <c r="O77" s="24"/>
      <c r="P77" s="12">
        <f t="shared" si="26"/>
        <v>667.25717499999996</v>
      </c>
      <c r="Q77" s="9">
        <f t="shared" ref="Q77:Q84" si="33">P77/13</f>
        <v>51.327475</v>
      </c>
      <c r="R77" s="12"/>
      <c r="S77" s="12"/>
      <c r="T77" s="12"/>
      <c r="U77" s="12">
        <f>G77*0.075*13</f>
        <v>645.7327499999999</v>
      </c>
      <c r="V77" s="12">
        <f t="shared" si="28"/>
        <v>49.671749999999989</v>
      </c>
      <c r="W77" s="12"/>
      <c r="X77" s="12"/>
      <c r="Y77" s="12">
        <f t="shared" si="29"/>
        <v>1312.9899249999999</v>
      </c>
      <c r="Z77" s="12">
        <f>G77*0.01*13</f>
        <v>86.097699999999989</v>
      </c>
      <c r="AA77" s="12">
        <f t="shared" si="31"/>
        <v>6.6228999999999996</v>
      </c>
      <c r="AB77" s="38"/>
      <c r="AC77" s="38"/>
      <c r="AD77" s="38"/>
      <c r="AE77" s="38"/>
      <c r="AF77" s="37"/>
      <c r="AG77" s="38"/>
      <c r="AH77" s="37"/>
      <c r="AI77" s="12"/>
      <c r="AJ77" s="38"/>
      <c r="AK77" s="38"/>
      <c r="AL77" s="38"/>
      <c r="AM77" s="12"/>
      <c r="AN77" s="12"/>
      <c r="AO77" s="12"/>
      <c r="AP77" s="38"/>
      <c r="AQ77" s="37"/>
    </row>
    <row r="78" spans="1:43" ht="23.25">
      <c r="A78" s="21">
        <f t="shared" si="32"/>
        <v>42</v>
      </c>
      <c r="B78" s="45" t="s">
        <v>178</v>
      </c>
      <c r="C78" s="56" t="s">
        <v>177</v>
      </c>
      <c r="D78" s="88" t="s">
        <v>173</v>
      </c>
      <c r="E78" s="84" t="s">
        <v>79</v>
      </c>
      <c r="F78" s="85" t="s">
        <v>47</v>
      </c>
      <c r="G78" s="26">
        <f>547+30+50</f>
        <v>627</v>
      </c>
      <c r="H78" s="32">
        <f t="shared" ref="H78" si="34">G78*12</f>
        <v>7524</v>
      </c>
      <c r="I78" s="32">
        <v>60</v>
      </c>
      <c r="J78" s="32"/>
      <c r="K78" s="32">
        <f t="shared" ref="K78" si="35">G78</f>
        <v>627</v>
      </c>
      <c r="L78" s="32">
        <v>300</v>
      </c>
      <c r="M78" s="12"/>
      <c r="N78" s="24">
        <v>125</v>
      </c>
      <c r="O78" s="24"/>
      <c r="P78" s="12">
        <f t="shared" si="26"/>
        <v>631.70249999999999</v>
      </c>
      <c r="Q78" s="9">
        <f t="shared" si="33"/>
        <v>48.592500000000001</v>
      </c>
      <c r="R78" s="12"/>
      <c r="S78" s="12"/>
      <c r="T78" s="12"/>
      <c r="U78" s="12">
        <f t="shared" ref="U78" si="36">G78*0.075*13</f>
        <v>611.32499999999993</v>
      </c>
      <c r="V78" s="12">
        <f t="shared" si="28"/>
        <v>47.024999999999991</v>
      </c>
      <c r="W78" s="12"/>
      <c r="X78" s="12"/>
      <c r="Y78" s="12">
        <f t="shared" si="29"/>
        <v>1243.0274999999999</v>
      </c>
      <c r="Z78" s="12">
        <f t="shared" ref="Z78" si="37">G78*0.01*13</f>
        <v>81.510000000000005</v>
      </c>
      <c r="AA78" s="12">
        <f t="shared" si="31"/>
        <v>6.2700000000000005</v>
      </c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ht="23.25">
      <c r="A79" s="21">
        <f t="shared" si="32"/>
        <v>43</v>
      </c>
      <c r="B79" s="45" t="s">
        <v>179</v>
      </c>
      <c r="C79" s="56" t="s">
        <v>177</v>
      </c>
      <c r="D79" s="88" t="s">
        <v>173</v>
      </c>
      <c r="E79" s="84" t="s">
        <v>79</v>
      </c>
      <c r="F79" s="85" t="s">
        <v>47</v>
      </c>
      <c r="G79" s="26">
        <f>547+30+50</f>
        <v>627</v>
      </c>
      <c r="H79" s="32">
        <f t="shared" si="24"/>
        <v>7524</v>
      </c>
      <c r="I79" s="32">
        <v>60</v>
      </c>
      <c r="J79" s="32"/>
      <c r="K79" s="32">
        <f t="shared" si="25"/>
        <v>627</v>
      </c>
      <c r="L79" s="32">
        <v>300</v>
      </c>
      <c r="M79" s="12"/>
      <c r="N79" s="24">
        <v>125</v>
      </c>
      <c r="O79" s="24"/>
      <c r="P79" s="12">
        <f t="shared" si="26"/>
        <v>631.70249999999999</v>
      </c>
      <c r="Q79" s="9">
        <f t="shared" si="33"/>
        <v>48.592500000000001</v>
      </c>
      <c r="R79" s="12"/>
      <c r="S79" s="12"/>
      <c r="T79" s="12"/>
      <c r="U79" s="12">
        <f t="shared" si="27"/>
        <v>611.32499999999993</v>
      </c>
      <c r="V79" s="12">
        <f t="shared" si="28"/>
        <v>47.024999999999991</v>
      </c>
      <c r="W79" s="12"/>
      <c r="X79" s="12"/>
      <c r="Y79" s="12">
        <f t="shared" si="29"/>
        <v>1243.0274999999999</v>
      </c>
      <c r="Z79" s="12">
        <f t="shared" si="30"/>
        <v>81.510000000000005</v>
      </c>
      <c r="AA79" s="12">
        <f t="shared" si="31"/>
        <v>6.2700000000000005</v>
      </c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ht="23.25">
      <c r="A80" s="21">
        <f t="shared" si="32"/>
        <v>44</v>
      </c>
      <c r="B80" s="45" t="s">
        <v>180</v>
      </c>
      <c r="C80" s="56" t="s">
        <v>181</v>
      </c>
      <c r="D80" s="88" t="s">
        <v>173</v>
      </c>
      <c r="E80" s="84" t="s">
        <v>79</v>
      </c>
      <c r="F80" s="85" t="s">
        <v>47</v>
      </c>
      <c r="G80" s="26">
        <f>467+30+50</f>
        <v>547</v>
      </c>
      <c r="H80" s="32">
        <f t="shared" si="24"/>
        <v>6564</v>
      </c>
      <c r="I80" s="32">
        <v>60</v>
      </c>
      <c r="J80" s="32"/>
      <c r="K80" s="32">
        <f t="shared" si="25"/>
        <v>547</v>
      </c>
      <c r="L80" s="32">
        <v>300</v>
      </c>
      <c r="M80" s="13"/>
      <c r="N80" s="24">
        <v>125</v>
      </c>
      <c r="O80" s="24"/>
      <c r="P80" s="12">
        <f t="shared" si="26"/>
        <v>551.10249999999996</v>
      </c>
      <c r="Q80" s="9">
        <f t="shared" si="33"/>
        <v>42.392499999999998</v>
      </c>
      <c r="R80" s="12"/>
      <c r="S80" s="12"/>
      <c r="T80" s="12"/>
      <c r="U80" s="12">
        <f t="shared" si="27"/>
        <v>533.32499999999993</v>
      </c>
      <c r="V80" s="12">
        <f t="shared" si="28"/>
        <v>41.024999999999991</v>
      </c>
      <c r="W80" s="12"/>
      <c r="X80" s="12"/>
      <c r="Y80" s="12">
        <f t="shared" si="29"/>
        <v>1084.4274999999998</v>
      </c>
      <c r="Z80" s="12">
        <f t="shared" si="30"/>
        <v>71.11</v>
      </c>
      <c r="AA80" s="12">
        <f t="shared" si="31"/>
        <v>5.47</v>
      </c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1:43" ht="23.25">
      <c r="A81" s="21">
        <f t="shared" si="32"/>
        <v>45</v>
      </c>
      <c r="B81" s="45" t="s">
        <v>182</v>
      </c>
      <c r="C81" s="56" t="s">
        <v>181</v>
      </c>
      <c r="D81" s="88" t="s">
        <v>173</v>
      </c>
      <c r="E81" s="84" t="s">
        <v>79</v>
      </c>
      <c r="F81" s="85" t="s">
        <v>47</v>
      </c>
      <c r="G81" s="26">
        <f>467+30+50</f>
        <v>547</v>
      </c>
      <c r="H81" s="32">
        <f>G81*12</f>
        <v>6564</v>
      </c>
      <c r="I81" s="32">
        <v>60</v>
      </c>
      <c r="J81" s="36"/>
      <c r="K81" s="32">
        <f>G81</f>
        <v>547</v>
      </c>
      <c r="L81" s="32">
        <v>300</v>
      </c>
      <c r="M81" s="37"/>
      <c r="N81" s="24">
        <v>125</v>
      </c>
      <c r="O81" s="24"/>
      <c r="P81" s="12">
        <f t="shared" si="26"/>
        <v>551.10249999999996</v>
      </c>
      <c r="Q81" s="9">
        <f t="shared" si="33"/>
        <v>42.392499999999998</v>
      </c>
      <c r="R81" s="12"/>
      <c r="S81" s="12"/>
      <c r="T81" s="12"/>
      <c r="U81" s="12">
        <f>G81*0.075*13</f>
        <v>533.32499999999993</v>
      </c>
      <c r="V81" s="12">
        <f t="shared" si="28"/>
        <v>41.024999999999991</v>
      </c>
      <c r="W81" s="12"/>
      <c r="X81" s="12"/>
      <c r="Y81" s="12">
        <f t="shared" si="29"/>
        <v>1084.4274999999998</v>
      </c>
      <c r="Z81" s="12">
        <f>G81*0.01*13</f>
        <v>71.11</v>
      </c>
      <c r="AA81" s="12">
        <f t="shared" si="31"/>
        <v>5.47</v>
      </c>
      <c r="AB81" s="38"/>
      <c r="AC81" s="38"/>
      <c r="AD81" s="38"/>
      <c r="AE81" s="38"/>
      <c r="AF81" s="37"/>
      <c r="AG81" s="38"/>
      <c r="AH81" s="37"/>
      <c r="AI81" s="12"/>
      <c r="AJ81" s="38"/>
      <c r="AK81" s="38"/>
      <c r="AL81" s="38"/>
      <c r="AM81" s="12"/>
      <c r="AN81" s="12"/>
      <c r="AO81" s="12"/>
      <c r="AP81" s="38"/>
      <c r="AQ81" s="37"/>
    </row>
    <row r="82" spans="1:43" ht="23.25">
      <c r="A82" s="21">
        <f t="shared" si="32"/>
        <v>46</v>
      </c>
      <c r="B82" s="45" t="s">
        <v>183</v>
      </c>
      <c r="C82" s="56" t="s">
        <v>181</v>
      </c>
      <c r="D82" s="88" t="s">
        <v>173</v>
      </c>
      <c r="E82" s="84" t="s">
        <v>79</v>
      </c>
      <c r="F82" s="85" t="s">
        <v>47</v>
      </c>
      <c r="G82" s="26">
        <f>467+30+50</f>
        <v>547</v>
      </c>
      <c r="H82" s="32">
        <f>G82*12</f>
        <v>6564</v>
      </c>
      <c r="I82" s="32">
        <v>60</v>
      </c>
      <c r="J82" s="36"/>
      <c r="K82" s="32">
        <f>G82</f>
        <v>547</v>
      </c>
      <c r="L82" s="32">
        <v>300</v>
      </c>
      <c r="M82" s="37"/>
      <c r="N82" s="24">
        <v>125</v>
      </c>
      <c r="O82" s="24"/>
      <c r="P82" s="12">
        <f t="shared" si="26"/>
        <v>551.10249999999996</v>
      </c>
      <c r="Q82" s="9">
        <f t="shared" si="33"/>
        <v>42.392499999999998</v>
      </c>
      <c r="R82" s="12"/>
      <c r="S82" s="12"/>
      <c r="T82" s="12"/>
      <c r="U82" s="12">
        <f>G82*0.075*13</f>
        <v>533.32499999999993</v>
      </c>
      <c r="V82" s="12">
        <f t="shared" si="28"/>
        <v>41.024999999999991</v>
      </c>
      <c r="W82" s="12"/>
      <c r="X82" s="12"/>
      <c r="Y82" s="12">
        <f t="shared" si="29"/>
        <v>1084.4274999999998</v>
      </c>
      <c r="Z82" s="12">
        <f>G82*0.01*13</f>
        <v>71.11</v>
      </c>
      <c r="AA82" s="12">
        <f t="shared" si="31"/>
        <v>5.47</v>
      </c>
      <c r="AB82" s="38"/>
      <c r="AC82" s="38"/>
      <c r="AD82" s="38"/>
      <c r="AE82" s="38"/>
      <c r="AF82" s="37"/>
      <c r="AG82" s="38"/>
      <c r="AH82" s="37"/>
      <c r="AI82" s="12"/>
      <c r="AJ82" s="38"/>
      <c r="AK82" s="38"/>
      <c r="AL82" s="38"/>
      <c r="AM82" s="12"/>
      <c r="AN82" s="12"/>
      <c r="AO82" s="12"/>
      <c r="AP82" s="38"/>
      <c r="AQ82" s="37"/>
    </row>
    <row r="83" spans="1:43" ht="23.25">
      <c r="A83" s="21">
        <f t="shared" si="32"/>
        <v>47</v>
      </c>
      <c r="B83" s="45" t="s">
        <v>184</v>
      </c>
      <c r="C83" s="56" t="s">
        <v>181</v>
      </c>
      <c r="D83" s="88" t="s">
        <v>173</v>
      </c>
      <c r="E83" s="84" t="s">
        <v>79</v>
      </c>
      <c r="F83" s="85" t="s">
        <v>47</v>
      </c>
      <c r="G83" s="26">
        <f>467+30+50</f>
        <v>547</v>
      </c>
      <c r="H83" s="32">
        <f>G83*12</f>
        <v>6564</v>
      </c>
      <c r="I83" s="32">
        <v>60</v>
      </c>
      <c r="J83" s="36"/>
      <c r="K83" s="32">
        <f>G83</f>
        <v>547</v>
      </c>
      <c r="L83" s="32">
        <v>300</v>
      </c>
      <c r="M83" s="37"/>
      <c r="N83" s="24">
        <v>125</v>
      </c>
      <c r="O83" s="24"/>
      <c r="P83" s="12">
        <f>G83*0.0775*13</f>
        <v>551.10249999999996</v>
      </c>
      <c r="Q83" s="40"/>
      <c r="R83" s="12">
        <f>P83/13</f>
        <v>42.392499999999998</v>
      </c>
      <c r="S83" s="12"/>
      <c r="T83" s="12"/>
      <c r="U83" s="12">
        <f>G83*0.075*13</f>
        <v>533.32499999999993</v>
      </c>
      <c r="V83" s="12">
        <f t="shared" si="28"/>
        <v>41.024999999999991</v>
      </c>
      <c r="W83" s="12"/>
      <c r="X83" s="12"/>
      <c r="Y83" s="12">
        <f t="shared" si="29"/>
        <v>1084.4274999999998</v>
      </c>
      <c r="Z83" s="12">
        <f>G83*0.01*13</f>
        <v>71.11</v>
      </c>
      <c r="AA83" s="12">
        <f>Z83/13</f>
        <v>5.47</v>
      </c>
      <c r="AB83" s="38"/>
      <c r="AC83" s="38"/>
      <c r="AD83" s="38"/>
      <c r="AE83" s="38"/>
      <c r="AF83" s="37"/>
      <c r="AG83" s="37"/>
      <c r="AH83" s="37"/>
      <c r="AI83" s="12"/>
      <c r="AJ83" s="38"/>
      <c r="AK83" s="38"/>
      <c r="AL83" s="38"/>
      <c r="AM83" s="12"/>
      <c r="AN83" s="12"/>
      <c r="AO83" s="12"/>
      <c r="AP83" s="37"/>
      <c r="AQ83" s="37"/>
    </row>
    <row r="84" spans="1:43" ht="23.25">
      <c r="A84" s="21">
        <f t="shared" si="32"/>
        <v>48</v>
      </c>
      <c r="B84" s="45" t="s">
        <v>185</v>
      </c>
      <c r="C84" s="56" t="s">
        <v>186</v>
      </c>
      <c r="D84" s="88" t="s">
        <v>173</v>
      </c>
      <c r="E84" s="84" t="s">
        <v>79</v>
      </c>
      <c r="F84" s="85" t="s">
        <v>47</v>
      </c>
      <c r="G84" s="26">
        <f>417+30+50</f>
        <v>497</v>
      </c>
      <c r="H84" s="32">
        <f>G84*12</f>
        <v>5964</v>
      </c>
      <c r="I84" s="32">
        <v>60</v>
      </c>
      <c r="J84" s="36"/>
      <c r="K84" s="32">
        <f>G84</f>
        <v>497</v>
      </c>
      <c r="L84" s="32">
        <v>300</v>
      </c>
      <c r="M84" s="37"/>
      <c r="N84" s="24">
        <v>125</v>
      </c>
      <c r="O84" s="24"/>
      <c r="P84" s="12">
        <f t="shared" si="26"/>
        <v>500.72749999999996</v>
      </c>
      <c r="Q84" s="9">
        <f t="shared" si="33"/>
        <v>38.517499999999998</v>
      </c>
      <c r="R84" s="12"/>
      <c r="S84" s="12"/>
      <c r="T84" s="12"/>
      <c r="U84" s="12">
        <f>G84*0.075*13</f>
        <v>484.57499999999999</v>
      </c>
      <c r="V84" s="12">
        <f t="shared" si="28"/>
        <v>37.274999999999999</v>
      </c>
      <c r="W84" s="12"/>
      <c r="X84" s="12"/>
      <c r="Y84" s="12">
        <f>P84+S84+U84+W84+0.01</f>
        <v>985.3125</v>
      </c>
      <c r="Z84" s="12">
        <f>G84*0.01*13</f>
        <v>64.61</v>
      </c>
      <c r="AA84" s="12">
        <f t="shared" si="31"/>
        <v>4.97</v>
      </c>
      <c r="AB84" s="12"/>
      <c r="AC84" s="12"/>
      <c r="AD84" s="12"/>
      <c r="AE84" s="12"/>
      <c r="AF84" s="12"/>
      <c r="AG84" s="12"/>
      <c r="AH84" s="12"/>
      <c r="AI84" s="12"/>
      <c r="AJ84" s="12"/>
      <c r="AK84" s="37"/>
      <c r="AL84" s="37"/>
      <c r="AM84" s="12"/>
      <c r="AN84" s="12"/>
      <c r="AO84" s="12"/>
      <c r="AP84" s="37"/>
      <c r="AQ84" s="37"/>
    </row>
    <row r="85" spans="1:43" ht="23.25">
      <c r="A85" s="21">
        <f t="shared" si="32"/>
        <v>49</v>
      </c>
      <c r="B85" s="45" t="s">
        <v>187</v>
      </c>
      <c r="C85" s="56" t="s">
        <v>186</v>
      </c>
      <c r="D85" s="88" t="s">
        <v>173</v>
      </c>
      <c r="E85" s="84" t="s">
        <v>79</v>
      </c>
      <c r="F85" s="85" t="s">
        <v>47</v>
      </c>
      <c r="G85" s="26">
        <f>417+30+50</f>
        <v>497</v>
      </c>
      <c r="H85" s="32">
        <f t="shared" si="24"/>
        <v>5964</v>
      </c>
      <c r="I85" s="32">
        <v>60</v>
      </c>
      <c r="J85" s="32"/>
      <c r="K85" s="32">
        <f t="shared" si="25"/>
        <v>497</v>
      </c>
      <c r="L85" s="32">
        <v>300</v>
      </c>
      <c r="M85" s="12"/>
      <c r="N85" s="24">
        <v>125</v>
      </c>
      <c r="O85" s="24"/>
      <c r="P85" s="12">
        <f t="shared" si="26"/>
        <v>500.72749999999996</v>
      </c>
      <c r="Q85" s="12"/>
      <c r="R85" s="12">
        <f>P85/13</f>
        <v>38.517499999999998</v>
      </c>
      <c r="S85" s="12"/>
      <c r="T85" s="12"/>
      <c r="U85" s="12">
        <f t="shared" si="27"/>
        <v>484.57499999999999</v>
      </c>
      <c r="V85" s="12">
        <f t="shared" si="28"/>
        <v>37.274999999999999</v>
      </c>
      <c r="W85" s="12"/>
      <c r="X85" s="12"/>
      <c r="Y85" s="12">
        <f>P85+S85+U85+W85+0.01</f>
        <v>985.3125</v>
      </c>
      <c r="Z85" s="12">
        <f t="shared" si="30"/>
        <v>64.61</v>
      </c>
      <c r="AA85" s="12">
        <f t="shared" si="31"/>
        <v>4.97</v>
      </c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1:43" ht="23.25">
      <c r="A86" s="21">
        <f t="shared" si="32"/>
        <v>50</v>
      </c>
      <c r="B86" s="45" t="s">
        <v>188</v>
      </c>
      <c r="C86" s="56" t="s">
        <v>186</v>
      </c>
      <c r="D86" s="88" t="s">
        <v>173</v>
      </c>
      <c r="E86" s="84" t="s">
        <v>79</v>
      </c>
      <c r="F86" s="85" t="s">
        <v>47</v>
      </c>
      <c r="G86" s="26">
        <f>417+50</f>
        <v>467</v>
      </c>
      <c r="H86" s="32">
        <f t="shared" si="24"/>
        <v>5604</v>
      </c>
      <c r="I86" s="32">
        <v>60</v>
      </c>
      <c r="J86" s="32"/>
      <c r="K86" s="32">
        <f t="shared" si="25"/>
        <v>467</v>
      </c>
      <c r="L86" s="32">
        <v>300</v>
      </c>
      <c r="M86" s="12"/>
      <c r="N86" s="24">
        <v>125</v>
      </c>
      <c r="O86" s="24"/>
      <c r="P86" s="12">
        <f t="shared" si="26"/>
        <v>470.50250000000005</v>
      </c>
      <c r="Q86" s="12"/>
      <c r="R86" s="12">
        <f>P86/13</f>
        <v>36.192500000000003</v>
      </c>
      <c r="S86" s="12"/>
      <c r="T86" s="12"/>
      <c r="U86" s="12">
        <f t="shared" si="27"/>
        <v>455.32499999999999</v>
      </c>
      <c r="V86" s="12">
        <f t="shared" si="28"/>
        <v>35.024999999999999</v>
      </c>
      <c r="W86" s="12"/>
      <c r="X86" s="12"/>
      <c r="Y86" s="12">
        <f>P86+S86+U86+W86</f>
        <v>925.8275000000001</v>
      </c>
      <c r="Z86" s="12">
        <f t="shared" si="30"/>
        <v>60.71</v>
      </c>
      <c r="AA86" s="12">
        <f t="shared" si="31"/>
        <v>4.67</v>
      </c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1:43">
      <c r="A87" s="21"/>
      <c r="B87" s="15"/>
      <c r="C87" s="86" t="s">
        <v>189</v>
      </c>
      <c r="D87" s="83"/>
      <c r="E87" s="84"/>
      <c r="F87" s="85"/>
      <c r="G87" s="87">
        <f t="shared" ref="G87:O87" si="38">SUM(G75:G86)</f>
        <v>6815.29</v>
      </c>
      <c r="H87" s="30">
        <f t="shared" si="38"/>
        <v>81783.48</v>
      </c>
      <c r="I87" s="30">
        <f t="shared" si="38"/>
        <v>720</v>
      </c>
      <c r="J87" s="30">
        <f t="shared" si="38"/>
        <v>0</v>
      </c>
      <c r="K87" s="30">
        <f t="shared" si="38"/>
        <v>6815.29</v>
      </c>
      <c r="L87" s="30">
        <f t="shared" si="38"/>
        <v>3600</v>
      </c>
      <c r="M87" s="20">
        <f t="shared" si="38"/>
        <v>0</v>
      </c>
      <c r="N87" s="20">
        <f t="shared" si="38"/>
        <v>1500</v>
      </c>
      <c r="O87" s="20">
        <f t="shared" si="38"/>
        <v>0</v>
      </c>
      <c r="P87" s="20">
        <f>SUM(P75:P86)-0.01</f>
        <v>6866.3946749999996</v>
      </c>
      <c r="Q87" s="20">
        <f>SUM(Q75:Q86)</f>
        <v>372.33247499999993</v>
      </c>
      <c r="R87" s="20">
        <f>SUM(R75:R86)</f>
        <v>155.85249999999999</v>
      </c>
      <c r="S87" s="20">
        <f>SUM(S75:S86)</f>
        <v>0</v>
      </c>
      <c r="T87" s="20">
        <f>SUM(T75:T86)</f>
        <v>0</v>
      </c>
      <c r="U87" s="20">
        <f>SUM(U75:U86)+0.05</f>
        <v>6644.9577499999987</v>
      </c>
      <c r="V87" s="20">
        <f>SUM(V75:V86)+0.05</f>
        <v>511.19674999999978</v>
      </c>
      <c r="W87" s="20">
        <f>SUM(W75:W86)</f>
        <v>0</v>
      </c>
      <c r="X87" s="20">
        <f>SUM(X75:X86)</f>
        <v>0</v>
      </c>
      <c r="Y87" s="20">
        <f>SUM(Y75:Y86)+0.02</f>
        <v>13511.352424999999</v>
      </c>
      <c r="Z87" s="20">
        <f t="shared" ref="Z87:AQ87" si="39">SUM(Z75:Z86)</f>
        <v>885.98770000000002</v>
      </c>
      <c r="AA87" s="20">
        <f t="shared" si="39"/>
        <v>68.152899999999988</v>
      </c>
      <c r="AB87" s="20">
        <f t="shared" si="39"/>
        <v>0</v>
      </c>
      <c r="AC87" s="20">
        <f t="shared" si="39"/>
        <v>0</v>
      </c>
      <c r="AD87" s="20">
        <f t="shared" si="39"/>
        <v>0</v>
      </c>
      <c r="AE87" s="20">
        <f t="shared" si="39"/>
        <v>0</v>
      </c>
      <c r="AF87" s="20">
        <f t="shared" si="39"/>
        <v>0</v>
      </c>
      <c r="AG87" s="20">
        <f t="shared" si="39"/>
        <v>0</v>
      </c>
      <c r="AH87" s="20">
        <f t="shared" si="39"/>
        <v>0</v>
      </c>
      <c r="AI87" s="20">
        <f t="shared" si="39"/>
        <v>0</v>
      </c>
      <c r="AJ87" s="20">
        <f t="shared" si="39"/>
        <v>0</v>
      </c>
      <c r="AK87" s="20">
        <f t="shared" si="39"/>
        <v>0</v>
      </c>
      <c r="AL87" s="20">
        <f t="shared" si="39"/>
        <v>0</v>
      </c>
      <c r="AM87" s="20">
        <f t="shared" si="39"/>
        <v>0</v>
      </c>
      <c r="AN87" s="20">
        <f t="shared" si="39"/>
        <v>0</v>
      </c>
      <c r="AO87" s="20">
        <f t="shared" si="39"/>
        <v>0</v>
      </c>
      <c r="AP87" s="20">
        <f t="shared" si="39"/>
        <v>0</v>
      </c>
      <c r="AQ87" s="20">
        <f t="shared" si="39"/>
        <v>0</v>
      </c>
    </row>
    <row r="88" spans="1:43" ht="55.5" customHeight="1">
      <c r="A88" s="21">
        <f>A86+1</f>
        <v>51</v>
      </c>
      <c r="B88" s="45" t="s">
        <v>190</v>
      </c>
      <c r="C88" s="99" t="s">
        <v>191</v>
      </c>
      <c r="D88" s="94" t="s">
        <v>192</v>
      </c>
      <c r="E88" s="84" t="s">
        <v>79</v>
      </c>
      <c r="F88" s="85" t="s">
        <v>47</v>
      </c>
      <c r="G88" s="26">
        <v>800</v>
      </c>
      <c r="H88" s="32">
        <f>G88*12</f>
        <v>9600</v>
      </c>
      <c r="I88" s="32">
        <v>60</v>
      </c>
      <c r="J88" s="32"/>
      <c r="K88" s="32">
        <f>G88</f>
        <v>800</v>
      </c>
      <c r="L88" s="32">
        <v>300</v>
      </c>
      <c r="M88" s="12"/>
      <c r="N88" s="24">
        <v>125</v>
      </c>
      <c r="O88" s="24"/>
      <c r="P88" s="12">
        <f>G88*0.0775*13</f>
        <v>806</v>
      </c>
      <c r="Q88" s="40"/>
      <c r="R88" s="12">
        <f>P88/13</f>
        <v>62</v>
      </c>
      <c r="S88" s="12"/>
      <c r="T88" s="12"/>
      <c r="U88" s="12">
        <f t="shared" si="27"/>
        <v>780</v>
      </c>
      <c r="V88" s="12">
        <f>U88/13</f>
        <v>60</v>
      </c>
      <c r="W88" s="12"/>
      <c r="X88" s="12"/>
      <c r="Y88" s="12">
        <f>P88+S88+U88+W88</f>
        <v>1586</v>
      </c>
      <c r="Z88" s="12">
        <f>G88*0.01*13</f>
        <v>104</v>
      </c>
      <c r="AA88" s="12">
        <f>Z88/13</f>
        <v>8</v>
      </c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1:43" ht="55.5" customHeight="1">
      <c r="A89" s="21">
        <f>A88+1</f>
        <v>52</v>
      </c>
      <c r="B89" s="45" t="s">
        <v>193</v>
      </c>
      <c r="C89" s="25" t="s">
        <v>194</v>
      </c>
      <c r="D89" s="94" t="s">
        <v>192</v>
      </c>
      <c r="E89" s="84" t="s">
        <v>79</v>
      </c>
      <c r="F89" s="85" t="s">
        <v>47</v>
      </c>
      <c r="G89" s="26">
        <f>712+30+50</f>
        <v>792</v>
      </c>
      <c r="H89" s="32">
        <f>G89*12</f>
        <v>9504</v>
      </c>
      <c r="I89" s="32">
        <v>60</v>
      </c>
      <c r="J89" s="32"/>
      <c r="K89" s="32">
        <f>G89</f>
        <v>792</v>
      </c>
      <c r="L89" s="32">
        <v>300</v>
      </c>
      <c r="M89" s="12"/>
      <c r="N89" s="24">
        <v>125</v>
      </c>
      <c r="O89" s="24"/>
      <c r="P89" s="12">
        <f>G89*0.0775*13</f>
        <v>797.94</v>
      </c>
      <c r="Q89" s="40"/>
      <c r="R89" s="12">
        <f>P89/13</f>
        <v>61.38</v>
      </c>
      <c r="S89" s="12"/>
      <c r="T89" s="12"/>
      <c r="U89" s="12">
        <f t="shared" si="27"/>
        <v>772.19999999999993</v>
      </c>
      <c r="V89" s="12">
        <f>U89/13</f>
        <v>59.399999999999991</v>
      </c>
      <c r="W89" s="12"/>
      <c r="X89" s="12"/>
      <c r="Y89" s="12">
        <f>P89+S89+U89+W89</f>
        <v>1570.1399999999999</v>
      </c>
      <c r="Z89" s="12">
        <f>G89*0.01*13</f>
        <v>102.96</v>
      </c>
      <c r="AA89" s="12">
        <f>Z89/13</f>
        <v>7.92</v>
      </c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1:43" ht="52.5" customHeight="1">
      <c r="A90" s="21">
        <f>A89+1</f>
        <v>53</v>
      </c>
      <c r="B90" s="48" t="s">
        <v>195</v>
      </c>
      <c r="C90" s="51" t="s">
        <v>91</v>
      </c>
      <c r="D90" s="94" t="s">
        <v>192</v>
      </c>
      <c r="E90" s="84" t="s">
        <v>79</v>
      </c>
      <c r="F90" s="85" t="s">
        <v>47</v>
      </c>
      <c r="G90" s="26">
        <f>447+50</f>
        <v>497</v>
      </c>
      <c r="H90" s="32">
        <f>G90*12</f>
        <v>5964</v>
      </c>
      <c r="I90" s="32">
        <v>60</v>
      </c>
      <c r="J90" s="36"/>
      <c r="K90" s="32">
        <f>G90</f>
        <v>497</v>
      </c>
      <c r="L90" s="32">
        <v>300</v>
      </c>
      <c r="M90" s="12"/>
      <c r="N90" s="24">
        <v>125</v>
      </c>
      <c r="O90" s="24"/>
      <c r="P90" s="12">
        <f>G90*0.0775*13</f>
        <v>500.72749999999996</v>
      </c>
      <c r="Q90" s="12"/>
      <c r="R90" s="12">
        <f>P90/13</f>
        <v>38.517499999999998</v>
      </c>
      <c r="S90" s="37"/>
      <c r="T90" s="37"/>
      <c r="U90" s="12">
        <f>G90*0.075*13</f>
        <v>484.57499999999999</v>
      </c>
      <c r="V90" s="12">
        <f>U90/13</f>
        <v>37.274999999999999</v>
      </c>
      <c r="W90" s="37"/>
      <c r="X90" s="37"/>
      <c r="Y90" s="12">
        <f>P90+S90+U90+W90+0.01</f>
        <v>985.3125</v>
      </c>
      <c r="Z90" s="12">
        <f>G90*0.01*13</f>
        <v>64.61</v>
      </c>
      <c r="AA90" s="12">
        <f>Z90/13</f>
        <v>4.97</v>
      </c>
      <c r="AB90" s="37"/>
      <c r="AC90" s="37"/>
      <c r="AD90" s="37"/>
      <c r="AE90" s="37"/>
      <c r="AF90" s="37"/>
      <c r="AG90" s="37"/>
      <c r="AH90" s="37"/>
      <c r="AI90" s="12"/>
      <c r="AJ90" s="37"/>
      <c r="AK90" s="37"/>
      <c r="AL90" s="37"/>
      <c r="AM90" s="12"/>
      <c r="AN90" s="12"/>
      <c r="AO90" s="12"/>
      <c r="AP90" s="37"/>
      <c r="AQ90" s="37"/>
    </row>
    <row r="91" spans="1:43">
      <c r="A91" s="49"/>
      <c r="B91" s="15"/>
      <c r="C91" s="86" t="s">
        <v>196</v>
      </c>
      <c r="D91" s="90"/>
      <c r="E91" s="84"/>
      <c r="F91" s="91"/>
      <c r="G91" s="87">
        <f>SUM(G88:G90)</f>
        <v>2089</v>
      </c>
      <c r="H91" s="30">
        <f>SUM(H88:H90)</f>
        <v>25068</v>
      </c>
      <c r="I91" s="30">
        <f>SUM(I88:I90)</f>
        <v>180</v>
      </c>
      <c r="J91" s="30"/>
      <c r="K91" s="30">
        <f>SUM(K88:K90)</f>
        <v>2089</v>
      </c>
      <c r="L91" s="30">
        <f>SUM(L88:L90)</f>
        <v>900</v>
      </c>
      <c r="M91" s="20"/>
      <c r="N91" s="20">
        <f>SUM(N88:N90)</f>
        <v>375</v>
      </c>
      <c r="O91" s="31"/>
      <c r="P91" s="20">
        <f t="shared" ref="P91:W91" si="40">SUM(P88:P90)</f>
        <v>2104.6675</v>
      </c>
      <c r="Q91" s="20">
        <f t="shared" si="40"/>
        <v>0</v>
      </c>
      <c r="R91" s="20">
        <f t="shared" si="40"/>
        <v>161.89749999999998</v>
      </c>
      <c r="S91" s="20">
        <f t="shared" si="40"/>
        <v>0</v>
      </c>
      <c r="T91" s="20">
        <f t="shared" si="40"/>
        <v>0</v>
      </c>
      <c r="U91" s="20">
        <f t="shared" si="40"/>
        <v>2036.7749999999999</v>
      </c>
      <c r="V91" s="20">
        <f t="shared" si="40"/>
        <v>156.67499999999998</v>
      </c>
      <c r="W91" s="20">
        <f t="shared" si="40"/>
        <v>0</v>
      </c>
      <c r="X91" s="20">
        <f>SUM(X88:X88)</f>
        <v>0</v>
      </c>
      <c r="Y91" s="20">
        <f>SUM(Y88:Y90)</f>
        <v>4141.4524999999994</v>
      </c>
      <c r="Z91" s="20">
        <f>SUM(Z88:Z90)</f>
        <v>271.57</v>
      </c>
      <c r="AA91" s="20">
        <f>SUM(AA88:AA90)</f>
        <v>20.89</v>
      </c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</row>
    <row r="92" spans="1:43">
      <c r="A92" s="21">
        <f>A90+1</f>
        <v>54</v>
      </c>
      <c r="B92" s="45" t="s">
        <v>197</v>
      </c>
      <c r="C92" s="51" t="s">
        <v>198</v>
      </c>
      <c r="D92" s="83" t="s">
        <v>199</v>
      </c>
      <c r="E92" s="84" t="s">
        <v>79</v>
      </c>
      <c r="F92" s="85" t="s">
        <v>47</v>
      </c>
      <c r="G92" s="26">
        <f>717+30+50</f>
        <v>797</v>
      </c>
      <c r="H92" s="32">
        <f>G92*12</f>
        <v>9564</v>
      </c>
      <c r="I92" s="32">
        <v>60</v>
      </c>
      <c r="J92" s="36"/>
      <c r="K92" s="32">
        <f>G92</f>
        <v>797</v>
      </c>
      <c r="L92" s="32">
        <v>300</v>
      </c>
      <c r="M92" s="37"/>
      <c r="N92" s="24">
        <v>125</v>
      </c>
      <c r="O92" s="24"/>
      <c r="P92" s="12">
        <f>G92*0.0775*13</f>
        <v>802.97749999999996</v>
      </c>
      <c r="Q92" s="9">
        <f>P92/13</f>
        <v>61.767499999999998</v>
      </c>
      <c r="R92" s="12"/>
      <c r="S92" s="12"/>
      <c r="T92" s="12"/>
      <c r="U92" s="12">
        <f>G92*0.075*13</f>
        <v>777.07499999999993</v>
      </c>
      <c r="V92" s="12">
        <f t="shared" ref="V92" si="41">U92/13</f>
        <v>59.774999999999991</v>
      </c>
      <c r="W92" s="12"/>
      <c r="X92" s="12"/>
      <c r="Y92" s="12">
        <f>P92+S92+U92+W92+0.01</f>
        <v>1580.0624999999998</v>
      </c>
      <c r="Z92" s="12">
        <f>G92*0.01*13</f>
        <v>103.61</v>
      </c>
      <c r="AA92" s="12">
        <f>Z92/13</f>
        <v>7.97</v>
      </c>
      <c r="AB92" s="38"/>
      <c r="AC92" s="38"/>
      <c r="AD92" s="38"/>
      <c r="AE92" s="38"/>
      <c r="AF92" s="37"/>
      <c r="AG92" s="38"/>
      <c r="AH92" s="37"/>
      <c r="AI92" s="12"/>
      <c r="AJ92" s="38"/>
      <c r="AK92" s="38"/>
      <c r="AL92" s="38"/>
      <c r="AM92" s="12"/>
      <c r="AN92" s="12"/>
      <c r="AO92" s="12"/>
      <c r="AP92" s="38"/>
      <c r="AQ92" s="37"/>
    </row>
    <row r="93" spans="1:43">
      <c r="A93" s="21">
        <f>A92+1</f>
        <v>55</v>
      </c>
      <c r="B93" s="45" t="s">
        <v>200</v>
      </c>
      <c r="C93" s="56" t="s">
        <v>201</v>
      </c>
      <c r="D93" s="83" t="s">
        <v>199</v>
      </c>
      <c r="E93" s="84" t="s">
        <v>79</v>
      </c>
      <c r="F93" s="85" t="s">
        <v>47</v>
      </c>
      <c r="G93" s="26">
        <f>567+30+50</f>
        <v>647</v>
      </c>
      <c r="H93" s="32">
        <f>G93*12</f>
        <v>7764</v>
      </c>
      <c r="I93" s="32">
        <v>60</v>
      </c>
      <c r="J93" s="36"/>
      <c r="K93" s="32">
        <f>G93</f>
        <v>647</v>
      </c>
      <c r="L93" s="32">
        <v>300</v>
      </c>
      <c r="M93" s="12"/>
      <c r="N93" s="24">
        <v>125</v>
      </c>
      <c r="O93" s="24"/>
      <c r="P93" s="12"/>
      <c r="Q93" s="50"/>
      <c r="R93" s="12"/>
      <c r="S93" s="37"/>
      <c r="T93" s="37"/>
      <c r="U93" s="12">
        <f>G93*0.075*13</f>
        <v>630.82499999999993</v>
      </c>
      <c r="V93" s="12">
        <f>U93/13</f>
        <v>48.524999999999991</v>
      </c>
      <c r="W93" s="12">
        <f>G93*0.06*13</f>
        <v>504.66</v>
      </c>
      <c r="X93" s="12">
        <v>34.020000000000003</v>
      </c>
      <c r="Y93" s="12">
        <f>P93+S93+U93+W93</f>
        <v>1135.4849999999999</v>
      </c>
      <c r="Z93" s="12">
        <f>G93*0.01*13</f>
        <v>84.11</v>
      </c>
      <c r="AA93" s="12">
        <f>Z93/13</f>
        <v>6.47</v>
      </c>
      <c r="AB93" s="37"/>
      <c r="AC93" s="37"/>
      <c r="AD93" s="37"/>
      <c r="AE93" s="37"/>
      <c r="AF93" s="37"/>
      <c r="AG93" s="37"/>
      <c r="AH93" s="37"/>
      <c r="AI93" s="12"/>
      <c r="AJ93" s="37"/>
      <c r="AK93" s="37"/>
      <c r="AL93" s="37"/>
      <c r="AM93" s="12"/>
      <c r="AN93" s="12"/>
      <c r="AO93" s="12"/>
      <c r="AP93" s="37"/>
      <c r="AQ93" s="37"/>
    </row>
    <row r="94" spans="1:43">
      <c r="A94" s="21">
        <f t="shared" ref="A94:A95" si="42">A93+1</f>
        <v>56</v>
      </c>
      <c r="B94" s="45" t="s">
        <v>202</v>
      </c>
      <c r="C94" s="56" t="s">
        <v>123</v>
      </c>
      <c r="D94" s="83" t="s">
        <v>199</v>
      </c>
      <c r="E94" s="84" t="s">
        <v>79</v>
      </c>
      <c r="F94" s="85" t="s">
        <v>47</v>
      </c>
      <c r="G94" s="26">
        <f>567+30+50</f>
        <v>647</v>
      </c>
      <c r="H94" s="32">
        <f>G94*12</f>
        <v>7764</v>
      </c>
      <c r="I94" s="32">
        <v>60</v>
      </c>
      <c r="J94" s="32"/>
      <c r="K94" s="32">
        <f>G94</f>
        <v>647</v>
      </c>
      <c r="L94" s="32">
        <v>300</v>
      </c>
      <c r="M94" s="12"/>
      <c r="N94" s="24">
        <v>125</v>
      </c>
      <c r="O94" s="24"/>
      <c r="P94" s="12">
        <f>G94*0.0775*13</f>
        <v>651.85249999999996</v>
      </c>
      <c r="Q94" s="9">
        <f>P94/13</f>
        <v>50.142499999999998</v>
      </c>
      <c r="R94" s="12"/>
      <c r="S94" s="37"/>
      <c r="T94" s="37"/>
      <c r="U94" s="12">
        <f>G94*0.075*13</f>
        <v>630.82499999999993</v>
      </c>
      <c r="V94" s="12">
        <f>U94/13</f>
        <v>48.524999999999991</v>
      </c>
      <c r="W94" s="37"/>
      <c r="X94" s="37"/>
      <c r="Y94" s="12">
        <f>P94+S94+U94+W94</f>
        <v>1282.6774999999998</v>
      </c>
      <c r="Z94" s="12">
        <f>G94*0.01*13</f>
        <v>84.11</v>
      </c>
      <c r="AA94" s="12">
        <f>Z94/13</f>
        <v>6.47</v>
      </c>
      <c r="AB94" s="37"/>
      <c r="AC94" s="37"/>
      <c r="AD94" s="37"/>
      <c r="AE94" s="37"/>
      <c r="AF94" s="37"/>
      <c r="AG94" s="37"/>
      <c r="AH94" s="37"/>
      <c r="AI94" s="12"/>
      <c r="AJ94" s="37"/>
      <c r="AK94" s="37"/>
      <c r="AL94" s="37"/>
      <c r="AM94" s="12"/>
      <c r="AN94" s="12"/>
      <c r="AO94" s="12"/>
      <c r="AP94" s="37"/>
      <c r="AQ94" s="37"/>
    </row>
    <row r="95" spans="1:43">
      <c r="A95" s="21">
        <f t="shared" si="42"/>
        <v>57</v>
      </c>
      <c r="B95" s="45" t="s">
        <v>203</v>
      </c>
      <c r="C95" s="56" t="s">
        <v>123</v>
      </c>
      <c r="D95" s="83" t="s">
        <v>199</v>
      </c>
      <c r="E95" s="84" t="s">
        <v>79</v>
      </c>
      <c r="F95" s="85" t="s">
        <v>47</v>
      </c>
      <c r="G95" s="26">
        <f>567+30+50</f>
        <v>647</v>
      </c>
      <c r="H95" s="32">
        <f>G95*12</f>
        <v>7764</v>
      </c>
      <c r="I95" s="32">
        <v>60</v>
      </c>
      <c r="J95" s="36"/>
      <c r="K95" s="32">
        <f>G95</f>
        <v>647</v>
      </c>
      <c r="L95" s="32">
        <v>300</v>
      </c>
      <c r="M95" s="12"/>
      <c r="N95" s="24">
        <v>125</v>
      </c>
      <c r="O95" s="24"/>
      <c r="P95" s="12">
        <f>G95*0.0775*13</f>
        <v>651.85249999999996</v>
      </c>
      <c r="Q95" s="40"/>
      <c r="R95" s="12">
        <f>P95/13</f>
        <v>50.142499999999998</v>
      </c>
      <c r="S95" s="37"/>
      <c r="T95" s="37"/>
      <c r="U95" s="12">
        <f>G95*0.075*13</f>
        <v>630.82499999999993</v>
      </c>
      <c r="V95" s="12">
        <f>U95/13</f>
        <v>48.524999999999991</v>
      </c>
      <c r="W95" s="37"/>
      <c r="X95" s="37"/>
      <c r="Y95" s="12">
        <f>P95+S95+U95+W95</f>
        <v>1282.6774999999998</v>
      </c>
      <c r="Z95" s="12">
        <f>G95*0.01*13</f>
        <v>84.11</v>
      </c>
      <c r="AA95" s="12">
        <f>Z95/13</f>
        <v>6.47</v>
      </c>
      <c r="AB95" s="38"/>
      <c r="AC95" s="38"/>
      <c r="AD95" s="38"/>
      <c r="AE95" s="38"/>
      <c r="AF95" s="37"/>
      <c r="AG95" s="38"/>
      <c r="AH95" s="37"/>
      <c r="AI95" s="12"/>
      <c r="AJ95" s="38"/>
      <c r="AK95" s="38"/>
      <c r="AL95" s="38"/>
      <c r="AM95" s="12"/>
      <c r="AN95" s="12"/>
      <c r="AO95" s="12"/>
      <c r="AP95" s="38"/>
      <c r="AQ95" s="37"/>
    </row>
    <row r="96" spans="1:43">
      <c r="A96" s="49"/>
      <c r="B96" s="15"/>
      <c r="C96" s="86" t="s">
        <v>204</v>
      </c>
      <c r="D96" s="100"/>
      <c r="E96" s="84"/>
      <c r="F96" s="85"/>
      <c r="G96" s="87">
        <f>SUM(G92:G95)</f>
        <v>2738</v>
      </c>
      <c r="H96" s="30">
        <f t="shared" ref="H96:AQ96" si="43">SUM(H92:H95)</f>
        <v>32856</v>
      </c>
      <c r="I96" s="30">
        <f t="shared" si="43"/>
        <v>240</v>
      </c>
      <c r="J96" s="30">
        <f t="shared" si="43"/>
        <v>0</v>
      </c>
      <c r="K96" s="30">
        <f t="shared" si="43"/>
        <v>2738</v>
      </c>
      <c r="L96" s="30">
        <f t="shared" si="43"/>
        <v>1200</v>
      </c>
      <c r="M96" s="30">
        <f t="shared" si="43"/>
        <v>0</v>
      </c>
      <c r="N96" s="30">
        <f t="shared" si="43"/>
        <v>500</v>
      </c>
      <c r="O96" s="30">
        <f t="shared" si="43"/>
        <v>0</v>
      </c>
      <c r="P96" s="30">
        <f t="shared" si="43"/>
        <v>2106.6824999999999</v>
      </c>
      <c r="Q96" s="30">
        <f t="shared" si="43"/>
        <v>111.91</v>
      </c>
      <c r="R96" s="30">
        <f t="shared" si="43"/>
        <v>50.142499999999998</v>
      </c>
      <c r="S96" s="30">
        <f t="shared" si="43"/>
        <v>0</v>
      </c>
      <c r="T96" s="30">
        <f t="shared" si="43"/>
        <v>0</v>
      </c>
      <c r="U96" s="30">
        <f>SUM(U92:U95)+0.02</f>
        <v>2669.5699999999997</v>
      </c>
      <c r="V96" s="30">
        <f>SUM(V92:V95)+0.02</f>
        <v>205.36999999999998</v>
      </c>
      <c r="W96" s="30">
        <f t="shared" si="43"/>
        <v>504.66</v>
      </c>
      <c r="X96" s="30">
        <f t="shared" si="43"/>
        <v>34.020000000000003</v>
      </c>
      <c r="Y96" s="30">
        <f>SUM(Y92:Y95)+0.01</f>
        <v>5280.9124999999995</v>
      </c>
      <c r="Z96" s="30">
        <f t="shared" si="43"/>
        <v>355.94</v>
      </c>
      <c r="AA96" s="30">
        <f t="shared" si="43"/>
        <v>27.38</v>
      </c>
      <c r="AB96" s="30">
        <f t="shared" si="43"/>
        <v>0</v>
      </c>
      <c r="AC96" s="30">
        <f t="shared" si="43"/>
        <v>0</v>
      </c>
      <c r="AD96" s="30">
        <f t="shared" si="43"/>
        <v>0</v>
      </c>
      <c r="AE96" s="30">
        <f t="shared" si="43"/>
        <v>0</v>
      </c>
      <c r="AF96" s="30">
        <f t="shared" si="43"/>
        <v>0</v>
      </c>
      <c r="AG96" s="30">
        <f t="shared" si="43"/>
        <v>0</v>
      </c>
      <c r="AH96" s="30">
        <f t="shared" si="43"/>
        <v>0</v>
      </c>
      <c r="AI96" s="30">
        <f t="shared" si="43"/>
        <v>0</v>
      </c>
      <c r="AJ96" s="30">
        <f t="shared" si="43"/>
        <v>0</v>
      </c>
      <c r="AK96" s="30">
        <f t="shared" si="43"/>
        <v>0</v>
      </c>
      <c r="AL96" s="30">
        <f t="shared" si="43"/>
        <v>0</v>
      </c>
      <c r="AM96" s="30">
        <f t="shared" si="43"/>
        <v>0</v>
      </c>
      <c r="AN96" s="30">
        <f t="shared" si="43"/>
        <v>0</v>
      </c>
      <c r="AO96" s="30">
        <f t="shared" si="43"/>
        <v>0</v>
      </c>
      <c r="AP96" s="30">
        <f t="shared" si="43"/>
        <v>0</v>
      </c>
      <c r="AQ96" s="30">
        <f t="shared" si="43"/>
        <v>0</v>
      </c>
    </row>
    <row r="97" spans="1:43">
      <c r="A97" s="21"/>
      <c r="B97" s="15"/>
      <c r="C97" s="101"/>
      <c r="D97" s="102" t="s">
        <v>205</v>
      </c>
      <c r="E97" s="103"/>
      <c r="F97" s="101"/>
      <c r="G97" s="87">
        <f t="shared" ref="G97:O97" si="44">SUM(G21,G26,G30,G32,G37, G41,G44,G49,G51,G55,G58,G61,G65,G69,G74,G87,G91,G96)</f>
        <v>40737.440000000002</v>
      </c>
      <c r="H97" s="30">
        <f t="shared" si="44"/>
        <v>488849.27999999997</v>
      </c>
      <c r="I97" s="30">
        <f t="shared" si="44"/>
        <v>3300</v>
      </c>
      <c r="J97" s="30" t="e">
        <f t="shared" si="44"/>
        <v>#REF!</v>
      </c>
      <c r="K97" s="30">
        <f t="shared" si="44"/>
        <v>43737.440000000002</v>
      </c>
      <c r="L97" s="30">
        <f t="shared" si="44"/>
        <v>16500</v>
      </c>
      <c r="M97" s="20" t="e">
        <f t="shared" si="44"/>
        <v>#REF!</v>
      </c>
      <c r="N97" s="20">
        <f t="shared" si="44"/>
        <v>6875</v>
      </c>
      <c r="O97" s="20">
        <f t="shared" si="44"/>
        <v>9730</v>
      </c>
      <c r="P97" s="20">
        <f>SUM(P21,P26,P30,P32,P37, P41,P44,P49,P51,P55,P58,P61,P65,P69,P74,P87,P91,P96)+0.01</f>
        <v>58727.618300000009</v>
      </c>
      <c r="Q97" s="20">
        <f>SUM(Q21,Q26,Q30,Q32,Q37, Q41,Q44,Q49,Q51,Q55,Q58,Q61,Q65,Q69,Q74,Q87,Q91,Q96)-0.01</f>
        <v>2494.8816249999995</v>
      </c>
      <c r="R97" s="20">
        <f>SUM(R21,R26,R30,R32,R37, R41,R44,R49,R51,R55,R58,R61,R65,R69,R74,R87,R91,R96)+0.01</f>
        <v>2022.607475</v>
      </c>
      <c r="S97" s="20">
        <f>SUM(S21,S26,S30,S32,S37, S41,S44,S49,S51,S55,S58,S61,S65,S69,S74,S87,S91,S96)</f>
        <v>0</v>
      </c>
      <c r="T97" s="20">
        <f>SUM(T21,T26,T30,T32,T37, T41,T44,T49,T51,T55,T58,T61,T65,T69,T74,T87,T91,T96)</f>
        <v>0</v>
      </c>
      <c r="U97" s="20">
        <f>SUM(U21,U26,U30,U32,U37, U41,U44,U49,U51,U55,U58,U61,U65,U69,U74,U87,U91,U96)+0.03</f>
        <v>48550.734000000004</v>
      </c>
      <c r="V97" s="20">
        <f>SUM(V21,V26,V30,V32,V37, V41,V44,V49,V51,V55,V58,V61,V65,V69,V74,V87,V91,V96)+0.04</f>
        <v>3734.8379999999993</v>
      </c>
      <c r="W97" s="20">
        <f>SUM(W21,W26,W30,W32,W37, W41,W44,W49,W51,W55,W58,W61,W65,W69,W74,W87,W91,W96)</f>
        <v>504.66</v>
      </c>
      <c r="X97" s="20">
        <f>SUM(X21,X26,X30,X32,X37, X41,X44,X49,X51,X55,X58,X61,X65,X69,X74,X87,X91,X96)</f>
        <v>34.020000000000003</v>
      </c>
      <c r="Y97" s="20">
        <f>SUM(Y21,Y26,Y30,Y32,Y37, Y41,Y44,Y49,Y51,Y55,Y58,Y61,Y65,Y69,Y74,Y87,Y91,Y96)+0.03</f>
        <v>107783.01229999999</v>
      </c>
      <c r="Z97" s="20">
        <f t="shared" ref="Z97:AF97" si="45">SUM(Z21,Z26,Z30,Z32,Z37, Z41,Z44,Z49,Z51,Z55,Z58,Z61,Z65,Z69,Z74,Z87,Z91,Z96)</f>
        <v>6489.6571999999987</v>
      </c>
      <c r="AA97" s="20">
        <f t="shared" si="45"/>
        <v>499.20439999999991</v>
      </c>
      <c r="AB97" s="20">
        <f t="shared" si="45"/>
        <v>805.66071428571433</v>
      </c>
      <c r="AC97" s="20">
        <f t="shared" si="45"/>
        <v>385.72</v>
      </c>
      <c r="AD97" s="20">
        <f t="shared" si="45"/>
        <v>244.1192857142857</v>
      </c>
      <c r="AE97" s="20">
        <f t="shared" si="45"/>
        <v>62.448705357142863</v>
      </c>
      <c r="AF97" s="20">
        <f t="shared" si="45"/>
        <v>0</v>
      </c>
      <c r="AG97" s="20">
        <f>SUM(AG21,AG26,AG30,AG32,AG37, AG41,AG44,AG49,AG51,AG55,AG58,AG61,AG65,AG69,AG74,AG87,AG91,AG96)+0.01</f>
        <v>60.434553571428566</v>
      </c>
      <c r="AH97" s="20">
        <f>SUM(AH21,AH26,AH30,AH32,AH37, AH41,AH44,AH49,AH51,AH55,AH58,AH61,AH65,AH69,AH74,AH87,AH91,AH96)</f>
        <v>0</v>
      </c>
      <c r="AI97" s="20">
        <f>SUM(AI21,AI26,AI30,AI32,AI37, AI41,AI44,AI49,AI51,AI55,AI58,AI61,AI65,AI69,AI74,AI87,AI91,AI96)-0.01</f>
        <v>122.88325892857144</v>
      </c>
      <c r="AJ97" s="20">
        <f>SUM(AJ21,AJ26,AJ30,AJ32,AJ37, AJ41,AJ44,AJ49,AJ51,AJ55,AJ58,AJ61,AJ65,AJ69,AJ74,AJ87,AJ91,AJ96)+0.01</f>
        <v>8.0666071428571442</v>
      </c>
      <c r="AK97" s="20">
        <f t="shared" ref="AK97:AQ97" si="46">SUM(AK21,AK26,AK30,AK32,AK37, AK41,AK44,AK49,AK51,AK55,AK58,AK61,AK65,AK69,AK74,AK87,AK91,AK96)</f>
        <v>15915.89</v>
      </c>
      <c r="AL97" s="20">
        <f t="shared" si="46"/>
        <v>110000</v>
      </c>
      <c r="AM97" s="20">
        <f t="shared" si="46"/>
        <v>27900</v>
      </c>
      <c r="AN97" s="20">
        <f t="shared" si="46"/>
        <v>9500</v>
      </c>
      <c r="AO97" s="20">
        <f t="shared" si="46"/>
        <v>42722.82</v>
      </c>
      <c r="AP97" s="20">
        <f t="shared" si="46"/>
        <v>20000</v>
      </c>
      <c r="AQ97" s="20">
        <f t="shared" si="46"/>
        <v>236600</v>
      </c>
    </row>
    <row r="98" spans="1:43">
      <c r="A98" s="21">
        <f>A95+1</f>
        <v>58</v>
      </c>
      <c r="B98" s="45" t="s">
        <v>206</v>
      </c>
      <c r="C98" s="51" t="s">
        <v>207</v>
      </c>
      <c r="D98" s="83" t="s">
        <v>208</v>
      </c>
      <c r="E98" s="84" t="s">
        <v>79</v>
      </c>
      <c r="F98" s="85" t="s">
        <v>209</v>
      </c>
      <c r="G98" s="26">
        <v>1900</v>
      </c>
      <c r="H98" s="32">
        <f t="shared" ref="H98:H102" si="47">G98*12</f>
        <v>22800</v>
      </c>
      <c r="I98" s="32">
        <v>60</v>
      </c>
      <c r="J98" s="32"/>
      <c r="K98" s="32">
        <f t="shared" ref="K98:K102" si="48">G98</f>
        <v>1900</v>
      </c>
      <c r="L98" s="32">
        <v>300</v>
      </c>
      <c r="M98" s="12"/>
      <c r="N98" s="24">
        <v>125</v>
      </c>
      <c r="O98" s="24"/>
      <c r="P98" s="12">
        <f t="shared" ref="P98:P102" si="49">G98*0.0775*13</f>
        <v>1914.25</v>
      </c>
      <c r="Q98" s="9">
        <f>P98/13</f>
        <v>147.25</v>
      </c>
      <c r="R98" s="12"/>
      <c r="S98" s="12"/>
      <c r="T98" s="12"/>
      <c r="U98" s="12">
        <v>975</v>
      </c>
      <c r="V98" s="12">
        <f t="shared" ref="V98:V102" si="50">U98/13</f>
        <v>75</v>
      </c>
      <c r="W98" s="12"/>
      <c r="X98" s="12"/>
      <c r="Y98" s="12">
        <f>P98+S98+U98+W98</f>
        <v>2889.25</v>
      </c>
      <c r="Z98" s="12">
        <v>130</v>
      </c>
      <c r="AA98" s="12">
        <f t="shared" ref="AA98:AA102" si="51">Z98/13</f>
        <v>10</v>
      </c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1:43">
      <c r="A99" s="21">
        <f>A98+1</f>
        <v>59</v>
      </c>
      <c r="B99" s="27" t="s">
        <v>210</v>
      </c>
      <c r="C99" s="51" t="s">
        <v>211</v>
      </c>
      <c r="D99" s="83" t="s">
        <v>208</v>
      </c>
      <c r="E99" s="84" t="s">
        <v>79</v>
      </c>
      <c r="F99" s="85" t="s">
        <v>209</v>
      </c>
      <c r="G99" s="26">
        <f>417+50</f>
        <v>467</v>
      </c>
      <c r="H99" s="32">
        <f>G99*12</f>
        <v>5604</v>
      </c>
      <c r="I99" s="32">
        <v>60</v>
      </c>
      <c r="J99" s="36"/>
      <c r="K99" s="32">
        <f>G99</f>
        <v>467</v>
      </c>
      <c r="L99" s="32">
        <v>300</v>
      </c>
      <c r="M99" s="12"/>
      <c r="N99" s="24">
        <v>125</v>
      </c>
      <c r="O99" s="24"/>
      <c r="P99" s="12">
        <f>G99*0.0775*13</f>
        <v>470.50250000000005</v>
      </c>
      <c r="Q99" s="9">
        <f>P99/13</f>
        <v>36.192500000000003</v>
      </c>
      <c r="R99" s="12"/>
      <c r="S99" s="37"/>
      <c r="T99" s="37"/>
      <c r="U99" s="12">
        <f>G99*0.075*13</f>
        <v>455.32499999999999</v>
      </c>
      <c r="V99" s="12">
        <f>U99/13</f>
        <v>35.024999999999999</v>
      </c>
      <c r="W99" s="37"/>
      <c r="X99" s="37"/>
      <c r="Y99" s="12">
        <f>P99+S99+U99+W99</f>
        <v>925.8275000000001</v>
      </c>
      <c r="Z99" s="12">
        <f>G99*0.01*13</f>
        <v>60.71</v>
      </c>
      <c r="AA99" s="12">
        <f>Z99/13</f>
        <v>4.67</v>
      </c>
      <c r="AB99" s="37"/>
      <c r="AC99" s="37"/>
      <c r="AD99" s="37"/>
      <c r="AE99" s="37"/>
      <c r="AF99" s="37"/>
      <c r="AG99" s="37"/>
      <c r="AH99" s="37"/>
      <c r="AI99" s="12"/>
      <c r="AJ99" s="37"/>
      <c r="AK99" s="37"/>
      <c r="AL99" s="37"/>
      <c r="AM99" s="12"/>
      <c r="AN99" s="12"/>
      <c r="AO99" s="12"/>
      <c r="AP99" s="37"/>
      <c r="AQ99" s="37"/>
    </row>
    <row r="100" spans="1:43">
      <c r="A100" s="21">
        <f t="shared" ref="A100:A102" si="52">A99+1</f>
        <v>60</v>
      </c>
      <c r="B100" s="45" t="s">
        <v>212</v>
      </c>
      <c r="C100" s="51" t="s">
        <v>213</v>
      </c>
      <c r="D100" s="83" t="s">
        <v>208</v>
      </c>
      <c r="E100" s="84" t="s">
        <v>79</v>
      </c>
      <c r="F100" s="85" t="s">
        <v>209</v>
      </c>
      <c r="G100" s="26">
        <f>597+30+50</f>
        <v>677</v>
      </c>
      <c r="H100" s="32">
        <f t="shared" si="47"/>
        <v>8124</v>
      </c>
      <c r="I100" s="32">
        <v>60</v>
      </c>
      <c r="J100" s="32"/>
      <c r="K100" s="32">
        <f t="shared" si="48"/>
        <v>677</v>
      </c>
      <c r="L100" s="32">
        <v>300</v>
      </c>
      <c r="M100" s="12"/>
      <c r="N100" s="24">
        <v>125</v>
      </c>
      <c r="O100" s="24"/>
      <c r="P100" s="12">
        <f t="shared" si="49"/>
        <v>682.07749999999999</v>
      </c>
      <c r="Q100" s="9"/>
      <c r="R100" s="12">
        <f>P100/13</f>
        <v>52.467500000000001</v>
      </c>
      <c r="S100" s="12"/>
      <c r="T100" s="12"/>
      <c r="U100" s="12">
        <f t="shared" ref="U100:U102" si="53">G100*0.075*13</f>
        <v>660.07499999999993</v>
      </c>
      <c r="V100" s="12">
        <f t="shared" si="50"/>
        <v>50.774999999999991</v>
      </c>
      <c r="W100" s="12"/>
      <c r="X100" s="12"/>
      <c r="Y100" s="12">
        <f t="shared" ref="Y100:Y102" si="54">P100+S100+U100+W100+0.01</f>
        <v>1342.1624999999999</v>
      </c>
      <c r="Z100" s="12">
        <f t="shared" ref="Z100:Z102" si="55">G100*0.01*13</f>
        <v>88.01</v>
      </c>
      <c r="AA100" s="12">
        <f t="shared" si="51"/>
        <v>6.7700000000000005</v>
      </c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1:43">
      <c r="A101" s="21">
        <f t="shared" si="52"/>
        <v>61</v>
      </c>
      <c r="B101" s="45" t="s">
        <v>214</v>
      </c>
      <c r="C101" s="25" t="s">
        <v>215</v>
      </c>
      <c r="D101" s="83" t="s">
        <v>208</v>
      </c>
      <c r="E101" s="84" t="s">
        <v>79</v>
      </c>
      <c r="F101" s="85" t="s">
        <v>209</v>
      </c>
      <c r="G101" s="26">
        <f>467+30+50</f>
        <v>547</v>
      </c>
      <c r="H101" s="32">
        <f>G101*12</f>
        <v>6564</v>
      </c>
      <c r="I101" s="32">
        <v>60</v>
      </c>
      <c r="J101" s="32"/>
      <c r="K101" s="32">
        <f>G101</f>
        <v>547</v>
      </c>
      <c r="L101" s="32">
        <v>300</v>
      </c>
      <c r="M101" s="12"/>
      <c r="N101" s="24">
        <v>125</v>
      </c>
      <c r="O101" s="24"/>
      <c r="P101" s="12">
        <f>G101*0.0775*13</f>
        <v>551.10249999999996</v>
      </c>
      <c r="Q101" s="13"/>
      <c r="R101" s="12">
        <f>P101/13</f>
        <v>42.392499999999998</v>
      </c>
      <c r="S101" s="12"/>
      <c r="T101" s="12"/>
      <c r="U101" s="12">
        <f>G101*0.075*13</f>
        <v>533.32499999999993</v>
      </c>
      <c r="V101" s="12">
        <f>U101/13</f>
        <v>41.024999999999991</v>
      </c>
      <c r="W101" s="12"/>
      <c r="X101" s="12"/>
      <c r="Y101" s="12">
        <f>P101+S101+U101+W101</f>
        <v>1084.4274999999998</v>
      </c>
      <c r="Z101" s="12">
        <f>G101*0.01*13</f>
        <v>71.11</v>
      </c>
      <c r="AA101" s="12">
        <f>Z101/13</f>
        <v>5.47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1:43">
      <c r="A102" s="21">
        <f t="shared" si="52"/>
        <v>62</v>
      </c>
      <c r="B102" s="45" t="s">
        <v>216</v>
      </c>
      <c r="C102" s="25" t="s">
        <v>217</v>
      </c>
      <c r="D102" s="83" t="s">
        <v>208</v>
      </c>
      <c r="E102" s="84" t="s">
        <v>79</v>
      </c>
      <c r="F102" s="85" t="s">
        <v>209</v>
      </c>
      <c r="G102" s="26">
        <f>617+30+50</f>
        <v>697</v>
      </c>
      <c r="H102" s="32">
        <f t="shared" si="47"/>
        <v>8364</v>
      </c>
      <c r="I102" s="32">
        <v>60</v>
      </c>
      <c r="J102" s="32"/>
      <c r="K102" s="32">
        <f t="shared" si="48"/>
        <v>697</v>
      </c>
      <c r="L102" s="32">
        <v>300</v>
      </c>
      <c r="M102" s="12"/>
      <c r="N102" s="24">
        <v>125</v>
      </c>
      <c r="O102" s="24"/>
      <c r="P102" s="12">
        <f t="shared" si="49"/>
        <v>702.22749999999996</v>
      </c>
      <c r="Q102" s="9">
        <f>P102/13</f>
        <v>54.017499999999998</v>
      </c>
      <c r="R102" s="12"/>
      <c r="S102" s="12"/>
      <c r="T102" s="12"/>
      <c r="U102" s="12">
        <f t="shared" si="53"/>
        <v>679.57499999999993</v>
      </c>
      <c r="V102" s="12">
        <f t="shared" si="50"/>
        <v>52.274999999999991</v>
      </c>
      <c r="W102" s="12"/>
      <c r="X102" s="12"/>
      <c r="Y102" s="12">
        <f t="shared" si="54"/>
        <v>1381.8124999999998</v>
      </c>
      <c r="Z102" s="12">
        <f t="shared" si="55"/>
        <v>90.61</v>
      </c>
      <c r="AA102" s="12">
        <f t="shared" si="51"/>
        <v>6.97</v>
      </c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1:43">
      <c r="A103" s="52">
        <f>A102+1</f>
        <v>63</v>
      </c>
      <c r="B103" s="27" t="s">
        <v>218</v>
      </c>
      <c r="C103" s="25" t="s">
        <v>219</v>
      </c>
      <c r="D103" s="83" t="s">
        <v>208</v>
      </c>
      <c r="E103" s="84" t="s">
        <v>79</v>
      </c>
      <c r="F103" s="85" t="s">
        <v>209</v>
      </c>
      <c r="G103" s="26">
        <f>570+30+50</f>
        <v>650</v>
      </c>
      <c r="H103" s="32">
        <f>G103*12</f>
        <v>7800</v>
      </c>
      <c r="I103" s="32">
        <v>60</v>
      </c>
      <c r="J103" s="36"/>
      <c r="K103" s="32">
        <f>G103</f>
        <v>650</v>
      </c>
      <c r="L103" s="32">
        <v>300</v>
      </c>
      <c r="M103" s="37"/>
      <c r="N103" s="24">
        <v>125</v>
      </c>
      <c r="O103" s="24"/>
      <c r="P103" s="12">
        <f>G103*0.0775*13</f>
        <v>654.875</v>
      </c>
      <c r="Q103" s="40"/>
      <c r="R103" s="12">
        <f>P103/13</f>
        <v>50.375</v>
      </c>
      <c r="S103" s="12"/>
      <c r="T103" s="12"/>
      <c r="U103" s="12">
        <f>G103*0.075*13</f>
        <v>633.75</v>
      </c>
      <c r="V103" s="12">
        <f>U103/13</f>
        <v>48.75</v>
      </c>
      <c r="W103" s="12"/>
      <c r="X103" s="12"/>
      <c r="Y103" s="12">
        <f>P103+S103+U103+W103</f>
        <v>1288.625</v>
      </c>
      <c r="Z103" s="12">
        <f>G103*0.01*13</f>
        <v>84.5</v>
      </c>
      <c r="AA103" s="12">
        <f>Z103/13</f>
        <v>6.5</v>
      </c>
      <c r="AB103" s="38"/>
      <c r="AC103" s="38"/>
      <c r="AD103" s="38"/>
      <c r="AE103" s="38"/>
      <c r="AF103" s="37"/>
      <c r="AG103" s="38"/>
      <c r="AH103" s="37"/>
      <c r="AI103" s="12"/>
      <c r="AJ103" s="38"/>
      <c r="AK103" s="38"/>
      <c r="AL103" s="38"/>
      <c r="AM103" s="12"/>
      <c r="AN103" s="12"/>
      <c r="AO103" s="12"/>
      <c r="AP103" s="38"/>
      <c r="AQ103" s="37"/>
    </row>
    <row r="104" spans="1:43">
      <c r="A104" s="21"/>
      <c r="B104" s="15"/>
      <c r="C104" s="86" t="s">
        <v>220</v>
      </c>
      <c r="D104" s="90"/>
      <c r="E104" s="84"/>
      <c r="F104" s="85"/>
      <c r="G104" s="87">
        <f>SUM(G98:G103)</f>
        <v>4938</v>
      </c>
      <c r="H104" s="30">
        <f t="shared" ref="H104:AA104" si="56">SUM(H98:H103)</f>
        <v>59256</v>
      </c>
      <c r="I104" s="30">
        <f t="shared" si="56"/>
        <v>360</v>
      </c>
      <c r="J104" s="30">
        <f t="shared" si="56"/>
        <v>0</v>
      </c>
      <c r="K104" s="30">
        <f t="shared" si="56"/>
        <v>4938</v>
      </c>
      <c r="L104" s="30">
        <f t="shared" si="56"/>
        <v>1800</v>
      </c>
      <c r="M104" s="30">
        <f t="shared" si="56"/>
        <v>0</v>
      </c>
      <c r="N104" s="30">
        <f t="shared" si="56"/>
        <v>750</v>
      </c>
      <c r="O104" s="30">
        <f t="shared" si="56"/>
        <v>0</v>
      </c>
      <c r="P104" s="30">
        <f t="shared" si="56"/>
        <v>4975.0349999999999</v>
      </c>
      <c r="Q104" s="30">
        <f t="shared" si="56"/>
        <v>237.45999999999998</v>
      </c>
      <c r="R104" s="30">
        <f t="shared" si="56"/>
        <v>145.23500000000001</v>
      </c>
      <c r="S104" s="30">
        <f t="shared" si="56"/>
        <v>0</v>
      </c>
      <c r="T104" s="30">
        <f t="shared" si="56"/>
        <v>0</v>
      </c>
      <c r="U104" s="30">
        <f>SUM(U98:U103)+0.02</f>
        <v>3937.0699999999997</v>
      </c>
      <c r="V104" s="30">
        <f t="shared" si="56"/>
        <v>302.84999999999997</v>
      </c>
      <c r="W104" s="30">
        <f t="shared" si="56"/>
        <v>0</v>
      </c>
      <c r="X104" s="30">
        <f t="shared" si="56"/>
        <v>0</v>
      </c>
      <c r="Y104" s="30">
        <f t="shared" si="56"/>
        <v>8912.1049999999996</v>
      </c>
      <c r="Z104" s="30">
        <f t="shared" si="56"/>
        <v>524.94000000000005</v>
      </c>
      <c r="AA104" s="30">
        <f t="shared" si="56"/>
        <v>40.380000000000003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</row>
    <row r="105" spans="1:43">
      <c r="A105" s="21">
        <f>A103+1</f>
        <v>64</v>
      </c>
      <c r="B105" s="45" t="s">
        <v>221</v>
      </c>
      <c r="C105" s="56" t="s">
        <v>222</v>
      </c>
      <c r="D105" s="83" t="s">
        <v>223</v>
      </c>
      <c r="E105" s="84" t="s">
        <v>79</v>
      </c>
      <c r="F105" s="85" t="s">
        <v>209</v>
      </c>
      <c r="G105" s="26">
        <v>945.57</v>
      </c>
      <c r="H105" s="32">
        <f t="shared" ref="H105:H122" si="57">G105*12</f>
        <v>11346.84</v>
      </c>
      <c r="I105" s="32">
        <v>60</v>
      </c>
      <c r="J105" s="32"/>
      <c r="K105" s="32">
        <f t="shared" ref="K105:K122" si="58">G105</f>
        <v>945.57</v>
      </c>
      <c r="L105" s="32">
        <v>300</v>
      </c>
      <c r="M105" s="12"/>
      <c r="N105" s="24">
        <v>125</v>
      </c>
      <c r="O105" s="24"/>
      <c r="P105" s="12">
        <f>G105*0.0775*13</f>
        <v>952.66177500000003</v>
      </c>
      <c r="Q105" s="40"/>
      <c r="R105" s="12">
        <f>P105/13</f>
        <v>73.281675000000007</v>
      </c>
      <c r="S105" s="37"/>
      <c r="T105" s="37"/>
      <c r="U105" s="12">
        <f t="shared" ref="U105:U123" si="59">G105*0.075*13</f>
        <v>921.93074999999999</v>
      </c>
      <c r="V105" s="12">
        <f t="shared" ref="V105:V123" si="60">U105/13</f>
        <v>70.917749999999998</v>
      </c>
      <c r="W105" s="37"/>
      <c r="X105" s="37"/>
      <c r="Y105" s="12">
        <f>P105+S105+U105+W105</f>
        <v>1874.592525</v>
      </c>
      <c r="Z105" s="12">
        <v>130</v>
      </c>
      <c r="AA105" s="12">
        <f t="shared" ref="AA105:AA123" si="61">Z105/13</f>
        <v>10</v>
      </c>
      <c r="AB105" s="12"/>
      <c r="AC105" s="12"/>
      <c r="AD105" s="12"/>
      <c r="AE105" s="12"/>
      <c r="AF105" s="37"/>
      <c r="AG105" s="12"/>
      <c r="AH105" s="37"/>
      <c r="AI105" s="12"/>
      <c r="AJ105" s="12"/>
      <c r="AK105" s="12"/>
      <c r="AL105" s="12"/>
      <c r="AM105" s="12"/>
      <c r="AN105" s="12"/>
      <c r="AO105" s="12"/>
      <c r="AP105" s="12"/>
      <c r="AQ105" s="37"/>
    </row>
    <row r="106" spans="1:43">
      <c r="A106" s="21">
        <f>A105+1</f>
        <v>65</v>
      </c>
      <c r="B106" s="45" t="s">
        <v>224</v>
      </c>
      <c r="C106" s="56" t="s">
        <v>225</v>
      </c>
      <c r="D106" s="83" t="s">
        <v>223</v>
      </c>
      <c r="E106" s="84" t="s">
        <v>79</v>
      </c>
      <c r="F106" s="85" t="s">
        <v>209</v>
      </c>
      <c r="G106" s="26">
        <f>737+30+50</f>
        <v>817</v>
      </c>
      <c r="H106" s="32">
        <f>G106*12</f>
        <v>9804</v>
      </c>
      <c r="I106" s="32">
        <v>60</v>
      </c>
      <c r="J106" s="32"/>
      <c r="K106" s="32">
        <f>G106</f>
        <v>817</v>
      </c>
      <c r="L106" s="32">
        <v>300</v>
      </c>
      <c r="M106" s="12"/>
      <c r="N106" s="24">
        <v>125</v>
      </c>
      <c r="O106" s="24"/>
      <c r="P106" s="12">
        <f>G106*0.0775*13</f>
        <v>823.12750000000005</v>
      </c>
      <c r="Q106" s="9">
        <f>P106/13</f>
        <v>63.317500000000003</v>
      </c>
      <c r="R106" s="40"/>
      <c r="S106" s="12"/>
      <c r="T106" s="12"/>
      <c r="U106" s="12">
        <f>G106*0.075*13</f>
        <v>796.57499999999993</v>
      </c>
      <c r="V106" s="12">
        <f>U106/13</f>
        <v>61.274999999999991</v>
      </c>
      <c r="W106" s="12"/>
      <c r="X106" s="12"/>
      <c r="Y106" s="12">
        <f>P106+S106+U106+W106+0.01</f>
        <v>1619.7124999999999</v>
      </c>
      <c r="Z106" s="12">
        <f>G106*0.01*13</f>
        <v>106.21</v>
      </c>
      <c r="AA106" s="12">
        <f>Z106/13</f>
        <v>8.17</v>
      </c>
      <c r="AB106" s="12"/>
      <c r="AC106" s="12"/>
      <c r="AD106" s="12"/>
      <c r="AE106" s="12"/>
      <c r="AF106" s="37"/>
      <c r="AG106" s="12"/>
      <c r="AH106" s="37"/>
      <c r="AI106" s="12"/>
      <c r="AJ106" s="12"/>
      <c r="AK106" s="12"/>
      <c r="AL106" s="12"/>
      <c r="AM106" s="12"/>
      <c r="AN106" s="12"/>
      <c r="AO106" s="12"/>
      <c r="AP106" s="12"/>
      <c r="AQ106" s="37"/>
    </row>
    <row r="107" spans="1:43">
      <c r="A107" s="21">
        <f>A106+1</f>
        <v>66</v>
      </c>
      <c r="B107" s="45" t="s">
        <v>226</v>
      </c>
      <c r="C107" s="56" t="s">
        <v>227</v>
      </c>
      <c r="D107" s="83" t="s">
        <v>223</v>
      </c>
      <c r="E107" s="84" t="s">
        <v>79</v>
      </c>
      <c r="F107" s="85" t="s">
        <v>209</v>
      </c>
      <c r="G107" s="26">
        <f>645+30+50</f>
        <v>725</v>
      </c>
      <c r="H107" s="32">
        <f t="shared" si="57"/>
        <v>8700</v>
      </c>
      <c r="I107" s="32">
        <v>60</v>
      </c>
      <c r="J107" s="32"/>
      <c r="K107" s="32">
        <f t="shared" si="58"/>
        <v>725</v>
      </c>
      <c r="L107" s="32">
        <v>300</v>
      </c>
      <c r="M107" s="12"/>
      <c r="N107" s="24">
        <v>125</v>
      </c>
      <c r="O107" s="24"/>
      <c r="P107" s="12">
        <f>G107*0.0775*13</f>
        <v>730.4375</v>
      </c>
      <c r="Q107" s="12"/>
      <c r="R107" s="12">
        <f>P107/13</f>
        <v>56.1875</v>
      </c>
      <c r="S107" s="12"/>
      <c r="T107" s="12"/>
      <c r="U107" s="12">
        <f t="shared" si="59"/>
        <v>706.875</v>
      </c>
      <c r="V107" s="12">
        <f t="shared" si="60"/>
        <v>54.375</v>
      </c>
      <c r="W107" s="37"/>
      <c r="X107" s="37"/>
      <c r="Y107" s="12">
        <f>P107+S107+U107+W107+0.01</f>
        <v>1437.3225</v>
      </c>
      <c r="Z107" s="12">
        <f t="shared" ref="Z107:Z123" si="62">G107*0.01*13</f>
        <v>94.25</v>
      </c>
      <c r="AA107" s="12">
        <f t="shared" si="61"/>
        <v>7.25</v>
      </c>
      <c r="AB107" s="12"/>
      <c r="AC107" s="12"/>
      <c r="AD107" s="12"/>
      <c r="AE107" s="12"/>
      <c r="AF107" s="37"/>
      <c r="AG107" s="12"/>
      <c r="AH107" s="37"/>
      <c r="AI107" s="12"/>
      <c r="AJ107" s="12"/>
      <c r="AK107" s="12"/>
      <c r="AL107" s="12"/>
      <c r="AM107" s="12"/>
      <c r="AN107" s="12"/>
      <c r="AO107" s="12"/>
      <c r="AP107" s="12"/>
      <c r="AQ107" s="37"/>
    </row>
    <row r="108" spans="1:43">
      <c r="A108" s="21">
        <f>A107+1</f>
        <v>67</v>
      </c>
      <c r="B108" s="27" t="s">
        <v>228</v>
      </c>
      <c r="C108" s="51" t="s">
        <v>229</v>
      </c>
      <c r="D108" s="83" t="s">
        <v>223</v>
      </c>
      <c r="E108" s="84" t="s">
        <v>79</v>
      </c>
      <c r="F108" s="85" t="s">
        <v>209</v>
      </c>
      <c r="G108" s="26">
        <v>500</v>
      </c>
      <c r="H108" s="32">
        <f t="shared" si="57"/>
        <v>6000</v>
      </c>
      <c r="I108" s="32">
        <v>60</v>
      </c>
      <c r="J108" s="36"/>
      <c r="K108" s="32">
        <f t="shared" si="58"/>
        <v>500</v>
      </c>
      <c r="L108" s="32">
        <v>300</v>
      </c>
      <c r="M108" s="37"/>
      <c r="N108" s="24">
        <v>125</v>
      </c>
      <c r="O108" s="24"/>
      <c r="P108" s="12">
        <f t="shared" ref="P108:P123" si="63">G108*0.0775*13</f>
        <v>503.75</v>
      </c>
      <c r="Q108" s="40"/>
      <c r="R108" s="12">
        <f>P108/13</f>
        <v>38.75</v>
      </c>
      <c r="S108" s="12"/>
      <c r="T108" s="12"/>
      <c r="U108" s="12">
        <f t="shared" si="59"/>
        <v>487.5</v>
      </c>
      <c r="V108" s="12">
        <f t="shared" si="60"/>
        <v>37.5</v>
      </c>
      <c r="W108" s="12"/>
      <c r="X108" s="12"/>
      <c r="Y108" s="12">
        <f>P108+S108+U108+W108</f>
        <v>991.25</v>
      </c>
      <c r="Z108" s="12">
        <f t="shared" si="62"/>
        <v>65</v>
      </c>
      <c r="AA108" s="12">
        <f t="shared" si="61"/>
        <v>5</v>
      </c>
      <c r="AB108" s="38"/>
      <c r="AC108" s="38"/>
      <c r="AD108" s="38"/>
      <c r="AE108" s="38"/>
      <c r="AF108" s="37"/>
      <c r="AG108" s="38"/>
      <c r="AH108" s="37"/>
      <c r="AI108" s="12"/>
      <c r="AJ108" s="38"/>
      <c r="AK108" s="38"/>
      <c r="AL108" s="38"/>
      <c r="AM108" s="12"/>
      <c r="AN108" s="12"/>
      <c r="AO108" s="12"/>
      <c r="AP108" s="38"/>
      <c r="AQ108" s="37"/>
    </row>
    <row r="109" spans="1:43">
      <c r="A109" s="21">
        <f>A108+1</f>
        <v>68</v>
      </c>
      <c r="B109" s="45" t="s">
        <v>230</v>
      </c>
      <c r="C109" s="56" t="s">
        <v>231</v>
      </c>
      <c r="D109" s="83" t="s">
        <v>223</v>
      </c>
      <c r="E109" s="84" t="s">
        <v>79</v>
      </c>
      <c r="F109" s="85" t="s">
        <v>209</v>
      </c>
      <c r="G109" s="26">
        <f>605.15+30+50</f>
        <v>685.15</v>
      </c>
      <c r="H109" s="32">
        <f t="shared" si="57"/>
        <v>8221.7999999999993</v>
      </c>
      <c r="I109" s="32">
        <v>60</v>
      </c>
      <c r="J109" s="36"/>
      <c r="K109" s="32">
        <f t="shared" si="58"/>
        <v>685.15</v>
      </c>
      <c r="L109" s="32">
        <v>300</v>
      </c>
      <c r="M109" s="12"/>
      <c r="N109" s="24">
        <v>125</v>
      </c>
      <c r="O109" s="24"/>
      <c r="P109" s="12">
        <f t="shared" si="63"/>
        <v>690.28862500000002</v>
      </c>
      <c r="Q109" s="9">
        <f>P109/13</f>
        <v>53.099125000000001</v>
      </c>
      <c r="R109" s="12"/>
      <c r="S109" s="37"/>
      <c r="T109" s="37"/>
      <c r="U109" s="12">
        <f t="shared" si="59"/>
        <v>668.02125000000001</v>
      </c>
      <c r="V109" s="12">
        <f t="shared" si="60"/>
        <v>51.386250000000004</v>
      </c>
      <c r="W109" s="37"/>
      <c r="X109" s="37"/>
      <c r="Y109" s="12">
        <f>P109+S109+U109+W109</f>
        <v>1358.3098749999999</v>
      </c>
      <c r="Z109" s="12">
        <f t="shared" si="62"/>
        <v>89.069499999999991</v>
      </c>
      <c r="AA109" s="12">
        <f t="shared" si="61"/>
        <v>6.8514999999999997</v>
      </c>
      <c r="AB109" s="38"/>
      <c r="AC109" s="38"/>
      <c r="AD109" s="38"/>
      <c r="AE109" s="38"/>
      <c r="AF109" s="37"/>
      <c r="AG109" s="38"/>
      <c r="AH109" s="37"/>
      <c r="AI109" s="12"/>
      <c r="AJ109" s="38"/>
      <c r="AK109" s="38"/>
      <c r="AL109" s="38"/>
      <c r="AM109" s="12"/>
      <c r="AN109" s="12"/>
      <c r="AO109" s="12"/>
      <c r="AP109" s="38"/>
      <c r="AQ109" s="37"/>
    </row>
    <row r="110" spans="1:43">
      <c r="A110" s="21">
        <f>A109+1</f>
        <v>69</v>
      </c>
      <c r="B110" s="45" t="s">
        <v>232</v>
      </c>
      <c r="C110" s="56" t="s">
        <v>233</v>
      </c>
      <c r="D110" s="83" t="s">
        <v>223</v>
      </c>
      <c r="E110" s="84" t="s">
        <v>79</v>
      </c>
      <c r="F110" s="85" t="s">
        <v>209</v>
      </c>
      <c r="G110" s="26">
        <f>572+30+50</f>
        <v>652</v>
      </c>
      <c r="H110" s="32">
        <f t="shared" si="57"/>
        <v>7824</v>
      </c>
      <c r="I110" s="32">
        <v>60</v>
      </c>
      <c r="J110" s="36"/>
      <c r="K110" s="32">
        <f t="shared" si="58"/>
        <v>652</v>
      </c>
      <c r="L110" s="32">
        <v>300</v>
      </c>
      <c r="M110" s="12"/>
      <c r="N110" s="24">
        <v>125</v>
      </c>
      <c r="O110" s="24"/>
      <c r="P110" s="12">
        <f t="shared" si="63"/>
        <v>656.89</v>
      </c>
      <c r="Q110" s="9">
        <f>P110/13</f>
        <v>50.53</v>
      </c>
      <c r="R110" s="12"/>
      <c r="S110" s="37"/>
      <c r="T110" s="37"/>
      <c r="U110" s="12">
        <f t="shared" si="59"/>
        <v>635.69999999999993</v>
      </c>
      <c r="V110" s="12">
        <f t="shared" si="60"/>
        <v>48.899999999999991</v>
      </c>
      <c r="W110" s="37"/>
      <c r="X110" s="37"/>
      <c r="Y110" s="12">
        <f>P110+S110+U110+W110</f>
        <v>1292.5899999999999</v>
      </c>
      <c r="Z110" s="12">
        <f t="shared" si="62"/>
        <v>84.76</v>
      </c>
      <c r="AA110" s="12">
        <f t="shared" si="61"/>
        <v>6.5200000000000005</v>
      </c>
      <c r="AB110" s="37"/>
      <c r="AC110" s="37"/>
      <c r="AD110" s="37"/>
      <c r="AE110" s="37"/>
      <c r="AF110" s="37"/>
      <c r="AG110" s="37"/>
      <c r="AH110" s="37"/>
      <c r="AI110" s="12"/>
      <c r="AJ110" s="37"/>
      <c r="AK110" s="37"/>
      <c r="AL110" s="37"/>
      <c r="AM110" s="12"/>
      <c r="AN110" s="12"/>
      <c r="AO110" s="12"/>
      <c r="AP110" s="37"/>
      <c r="AQ110" s="37"/>
    </row>
    <row r="111" spans="1:43">
      <c r="A111" s="21">
        <f t="shared" ref="A111:A123" si="64">A110+1</f>
        <v>70</v>
      </c>
      <c r="B111" s="45" t="s">
        <v>234</v>
      </c>
      <c r="C111" s="56" t="s">
        <v>235</v>
      </c>
      <c r="D111" s="83" t="s">
        <v>223</v>
      </c>
      <c r="E111" s="84" t="s">
        <v>79</v>
      </c>
      <c r="F111" s="85" t="s">
        <v>209</v>
      </c>
      <c r="G111" s="26">
        <f>645+30+50</f>
        <v>725</v>
      </c>
      <c r="H111" s="32">
        <f t="shared" si="57"/>
        <v>8700</v>
      </c>
      <c r="I111" s="32">
        <v>60</v>
      </c>
      <c r="J111" s="36"/>
      <c r="K111" s="32">
        <f t="shared" si="58"/>
        <v>725</v>
      </c>
      <c r="L111" s="32">
        <v>300</v>
      </c>
      <c r="M111" s="12"/>
      <c r="N111" s="24">
        <v>125</v>
      </c>
      <c r="O111" s="24"/>
      <c r="P111" s="12">
        <f t="shared" si="63"/>
        <v>730.4375</v>
      </c>
      <c r="Q111" s="9">
        <f>P111/13</f>
        <v>56.1875</v>
      </c>
      <c r="R111" s="12"/>
      <c r="S111" s="37"/>
      <c r="T111" s="37"/>
      <c r="U111" s="12">
        <f t="shared" si="59"/>
        <v>706.875</v>
      </c>
      <c r="V111" s="12">
        <f t="shared" si="60"/>
        <v>54.375</v>
      </c>
      <c r="W111" s="37"/>
      <c r="X111" s="37"/>
      <c r="Y111" s="12">
        <f>P111+S111+U111+W111+0.01</f>
        <v>1437.3225</v>
      </c>
      <c r="Z111" s="12">
        <f t="shared" si="62"/>
        <v>94.25</v>
      </c>
      <c r="AA111" s="12">
        <f t="shared" si="61"/>
        <v>7.25</v>
      </c>
      <c r="AB111" s="37"/>
      <c r="AC111" s="37"/>
      <c r="AD111" s="37"/>
      <c r="AE111" s="37"/>
      <c r="AF111" s="37"/>
      <c r="AG111" s="37"/>
      <c r="AH111" s="37"/>
      <c r="AI111" s="12"/>
      <c r="AJ111" s="37"/>
      <c r="AK111" s="37"/>
      <c r="AL111" s="37"/>
      <c r="AM111" s="12"/>
      <c r="AN111" s="12"/>
      <c r="AO111" s="12"/>
      <c r="AP111" s="37"/>
      <c r="AQ111" s="37"/>
    </row>
    <row r="112" spans="1:43">
      <c r="A112" s="21">
        <f t="shared" si="64"/>
        <v>71</v>
      </c>
      <c r="B112" s="45" t="s">
        <v>236</v>
      </c>
      <c r="C112" s="56" t="s">
        <v>237</v>
      </c>
      <c r="D112" s="83" t="s">
        <v>223</v>
      </c>
      <c r="E112" s="84" t="s">
        <v>79</v>
      </c>
      <c r="F112" s="85" t="s">
        <v>209</v>
      </c>
      <c r="G112" s="26">
        <f>517+50</f>
        <v>567</v>
      </c>
      <c r="H112" s="32">
        <f t="shared" si="57"/>
        <v>6804</v>
      </c>
      <c r="I112" s="32">
        <v>60</v>
      </c>
      <c r="J112" s="36"/>
      <c r="K112" s="32">
        <f t="shared" si="58"/>
        <v>567</v>
      </c>
      <c r="L112" s="32">
        <v>300</v>
      </c>
      <c r="M112" s="12"/>
      <c r="N112" s="24">
        <v>125</v>
      </c>
      <c r="O112" s="24"/>
      <c r="P112" s="12">
        <f t="shared" si="63"/>
        <v>571.25250000000005</v>
      </c>
      <c r="Q112" s="9"/>
      <c r="R112" s="12">
        <f>P112/13</f>
        <v>43.942500000000003</v>
      </c>
      <c r="S112" s="37"/>
      <c r="T112" s="37"/>
      <c r="U112" s="12">
        <f t="shared" si="59"/>
        <v>552.82499999999993</v>
      </c>
      <c r="V112" s="12">
        <f t="shared" si="60"/>
        <v>42.524999999999991</v>
      </c>
      <c r="W112" s="37"/>
      <c r="X112" s="37"/>
      <c r="Y112" s="12">
        <f>P112+S112+U112+W112</f>
        <v>1124.0774999999999</v>
      </c>
      <c r="Z112" s="12">
        <f t="shared" si="62"/>
        <v>73.709999999999994</v>
      </c>
      <c r="AA112" s="12">
        <f t="shared" si="61"/>
        <v>5.67</v>
      </c>
      <c r="AB112" s="37"/>
      <c r="AC112" s="37"/>
      <c r="AD112" s="37"/>
      <c r="AE112" s="37"/>
      <c r="AF112" s="37"/>
      <c r="AG112" s="37"/>
      <c r="AH112" s="37"/>
      <c r="AI112" s="12"/>
      <c r="AJ112" s="37"/>
      <c r="AK112" s="37"/>
      <c r="AL112" s="37"/>
      <c r="AM112" s="12"/>
      <c r="AN112" s="12"/>
      <c r="AO112" s="12"/>
      <c r="AP112" s="37"/>
      <c r="AQ112" s="37"/>
    </row>
    <row r="113" spans="1:43">
      <c r="A113" s="21">
        <f t="shared" si="64"/>
        <v>72</v>
      </c>
      <c r="B113" s="45" t="s">
        <v>238</v>
      </c>
      <c r="C113" s="56" t="s">
        <v>239</v>
      </c>
      <c r="D113" s="83" t="s">
        <v>223</v>
      </c>
      <c r="E113" s="84" t="s">
        <v>79</v>
      </c>
      <c r="F113" s="85" t="s">
        <v>209</v>
      </c>
      <c r="G113" s="26">
        <f>467+30+50</f>
        <v>547</v>
      </c>
      <c r="H113" s="32">
        <f>G113*12</f>
        <v>6564</v>
      </c>
      <c r="I113" s="32">
        <v>60</v>
      </c>
      <c r="J113" s="36"/>
      <c r="K113" s="32">
        <f>G113</f>
        <v>547</v>
      </c>
      <c r="L113" s="32">
        <v>300</v>
      </c>
      <c r="M113" s="37"/>
      <c r="N113" s="24">
        <v>125</v>
      </c>
      <c r="O113" s="24"/>
      <c r="P113" s="12">
        <f>G113*0.0775*13</f>
        <v>551.10249999999996</v>
      </c>
      <c r="Q113" s="40"/>
      <c r="R113" s="12">
        <f>P113/13</f>
        <v>42.392499999999998</v>
      </c>
      <c r="S113" s="37"/>
      <c r="T113" s="37"/>
      <c r="U113" s="12">
        <f>G113*0.075*13</f>
        <v>533.32499999999993</v>
      </c>
      <c r="V113" s="12">
        <f>U113/13</f>
        <v>41.024999999999991</v>
      </c>
      <c r="W113" s="37"/>
      <c r="X113" s="37"/>
      <c r="Y113" s="12">
        <f>P113+S113+U113+W113</f>
        <v>1084.4274999999998</v>
      </c>
      <c r="Z113" s="12">
        <f>G113*0.01*13</f>
        <v>71.11</v>
      </c>
      <c r="AA113" s="12">
        <f>Z113/13</f>
        <v>5.47</v>
      </c>
      <c r="AB113" s="38"/>
      <c r="AC113" s="38"/>
      <c r="AD113" s="38"/>
      <c r="AE113" s="38"/>
      <c r="AF113" s="37"/>
      <c r="AG113" s="38"/>
      <c r="AH113" s="37"/>
      <c r="AI113" s="12"/>
      <c r="AJ113" s="38"/>
      <c r="AK113" s="38"/>
      <c r="AL113" s="38"/>
      <c r="AM113" s="12"/>
      <c r="AN113" s="12"/>
      <c r="AO113" s="12"/>
      <c r="AP113" s="38"/>
      <c r="AQ113" s="37"/>
    </row>
    <row r="114" spans="1:43">
      <c r="A114" s="21">
        <f t="shared" si="64"/>
        <v>73</v>
      </c>
      <c r="B114" s="45" t="s">
        <v>240</v>
      </c>
      <c r="C114" s="56" t="s">
        <v>241</v>
      </c>
      <c r="D114" s="83" t="s">
        <v>223</v>
      </c>
      <c r="E114" s="84" t="s">
        <v>79</v>
      </c>
      <c r="F114" s="85" t="s">
        <v>209</v>
      </c>
      <c r="G114" s="26">
        <f>417+30+50</f>
        <v>497</v>
      </c>
      <c r="H114" s="32">
        <f>G114*12</f>
        <v>5964</v>
      </c>
      <c r="I114" s="32">
        <v>60</v>
      </c>
      <c r="J114" s="36"/>
      <c r="K114" s="32">
        <f>G114</f>
        <v>497</v>
      </c>
      <c r="L114" s="32">
        <v>300</v>
      </c>
      <c r="M114" s="12"/>
      <c r="N114" s="24">
        <v>125</v>
      </c>
      <c r="O114" s="24"/>
      <c r="P114" s="12">
        <f t="shared" si="63"/>
        <v>500.72749999999996</v>
      </c>
      <c r="Q114" s="9"/>
      <c r="R114" s="12">
        <f>P114/13</f>
        <v>38.517499999999998</v>
      </c>
      <c r="S114" s="37"/>
      <c r="T114" s="37"/>
      <c r="U114" s="12">
        <f>G114*0.075*13</f>
        <v>484.57499999999999</v>
      </c>
      <c r="V114" s="12">
        <f t="shared" si="60"/>
        <v>37.274999999999999</v>
      </c>
      <c r="W114" s="37"/>
      <c r="X114" s="37"/>
      <c r="Y114" s="12">
        <f>P114+S114+U114+W114+0.01</f>
        <v>985.3125</v>
      </c>
      <c r="Z114" s="12">
        <f>G114*0.01*13</f>
        <v>64.61</v>
      </c>
      <c r="AA114" s="12">
        <f t="shared" si="61"/>
        <v>4.97</v>
      </c>
      <c r="AB114" s="38"/>
      <c r="AC114" s="38"/>
      <c r="AD114" s="38"/>
      <c r="AE114" s="38"/>
      <c r="AF114" s="37"/>
      <c r="AG114" s="38"/>
      <c r="AH114" s="37"/>
      <c r="AI114" s="12"/>
      <c r="AJ114" s="38"/>
      <c r="AK114" s="38"/>
      <c r="AL114" s="38"/>
      <c r="AM114" s="12"/>
      <c r="AN114" s="12"/>
      <c r="AO114" s="12"/>
      <c r="AP114" s="38"/>
      <c r="AQ114" s="37"/>
    </row>
    <row r="115" spans="1:43">
      <c r="A115" s="21">
        <f t="shared" si="64"/>
        <v>74</v>
      </c>
      <c r="B115" s="45" t="s">
        <v>242</v>
      </c>
      <c r="C115" s="56" t="s">
        <v>243</v>
      </c>
      <c r="D115" s="83" t="s">
        <v>223</v>
      </c>
      <c r="E115" s="84" t="s">
        <v>79</v>
      </c>
      <c r="F115" s="85" t="s">
        <v>209</v>
      </c>
      <c r="G115" s="26">
        <f>417+50</f>
        <v>467</v>
      </c>
      <c r="H115" s="32">
        <f>G115*12</f>
        <v>5604</v>
      </c>
      <c r="I115" s="32">
        <v>60</v>
      </c>
      <c r="J115" s="36"/>
      <c r="K115" s="32">
        <f>G115</f>
        <v>467</v>
      </c>
      <c r="L115" s="32">
        <v>300</v>
      </c>
      <c r="M115" s="37"/>
      <c r="N115" s="24">
        <v>125</v>
      </c>
      <c r="O115" s="24"/>
      <c r="P115" s="12">
        <f>G115*0.0775*13</f>
        <v>470.50250000000005</v>
      </c>
      <c r="Q115" s="9">
        <f>P115/13</f>
        <v>36.192500000000003</v>
      </c>
      <c r="R115" s="12"/>
      <c r="S115" s="12"/>
      <c r="T115" s="12"/>
      <c r="U115" s="12">
        <f>G115*0.075*13</f>
        <v>455.32499999999999</v>
      </c>
      <c r="V115" s="12">
        <f>U115/13</f>
        <v>35.024999999999999</v>
      </c>
      <c r="W115" s="12"/>
      <c r="X115" s="12"/>
      <c r="Y115" s="12">
        <f>P115+S115+U115+W115</f>
        <v>925.8275000000001</v>
      </c>
      <c r="Z115" s="12">
        <f>G115*0.01*13</f>
        <v>60.71</v>
      </c>
      <c r="AA115" s="12">
        <f>Z115/13</f>
        <v>4.67</v>
      </c>
      <c r="AB115" s="38"/>
      <c r="AC115" s="38"/>
      <c r="AD115" s="38"/>
      <c r="AE115" s="38"/>
      <c r="AF115" s="37"/>
      <c r="AG115" s="38"/>
      <c r="AH115" s="37"/>
      <c r="AI115" s="12"/>
      <c r="AJ115" s="38"/>
      <c r="AK115" s="38"/>
      <c r="AL115" s="38"/>
      <c r="AM115" s="12"/>
      <c r="AN115" s="12"/>
      <c r="AO115" s="12"/>
      <c r="AP115" s="38"/>
      <c r="AQ115" s="37"/>
    </row>
    <row r="116" spans="1:43">
      <c r="A116" s="21">
        <f t="shared" si="64"/>
        <v>75</v>
      </c>
      <c r="B116" s="45" t="s">
        <v>244</v>
      </c>
      <c r="C116" s="53" t="s">
        <v>245</v>
      </c>
      <c r="D116" s="83" t="s">
        <v>223</v>
      </c>
      <c r="E116" s="84" t="s">
        <v>79</v>
      </c>
      <c r="F116" s="85" t="s">
        <v>209</v>
      </c>
      <c r="G116" s="26">
        <f>697+30+50</f>
        <v>777</v>
      </c>
      <c r="H116" s="32">
        <f t="shared" si="57"/>
        <v>9324</v>
      </c>
      <c r="I116" s="32">
        <v>60</v>
      </c>
      <c r="J116" s="36"/>
      <c r="K116" s="32">
        <f t="shared" si="58"/>
        <v>777</v>
      </c>
      <c r="L116" s="32">
        <v>300</v>
      </c>
      <c r="M116" s="12"/>
      <c r="N116" s="24">
        <v>125</v>
      </c>
      <c r="O116" s="24"/>
      <c r="P116" s="12">
        <f t="shared" si="63"/>
        <v>782.82749999999999</v>
      </c>
      <c r="Q116" s="9">
        <f>P116/13</f>
        <v>60.217500000000001</v>
      </c>
      <c r="R116" s="12"/>
      <c r="S116" s="37"/>
      <c r="T116" s="37"/>
      <c r="U116" s="12">
        <f t="shared" si="59"/>
        <v>757.57499999999993</v>
      </c>
      <c r="V116" s="12">
        <f t="shared" si="60"/>
        <v>58.274999999999991</v>
      </c>
      <c r="W116" s="37"/>
      <c r="X116" s="37"/>
      <c r="Y116" s="12">
        <f>P116+S116+U116+W116+0.01</f>
        <v>1540.4124999999999</v>
      </c>
      <c r="Z116" s="12">
        <f t="shared" si="62"/>
        <v>101.01</v>
      </c>
      <c r="AA116" s="12">
        <f t="shared" si="61"/>
        <v>7.7700000000000005</v>
      </c>
      <c r="AB116" s="37"/>
      <c r="AC116" s="37"/>
      <c r="AD116" s="37"/>
      <c r="AE116" s="37"/>
      <c r="AF116" s="37"/>
      <c r="AG116" s="37"/>
      <c r="AH116" s="37"/>
      <c r="AI116" s="12"/>
      <c r="AJ116" s="37"/>
      <c r="AK116" s="37"/>
      <c r="AL116" s="37"/>
      <c r="AM116" s="12"/>
      <c r="AN116" s="12"/>
      <c r="AO116" s="12"/>
      <c r="AP116" s="37"/>
      <c r="AQ116" s="37"/>
    </row>
    <row r="117" spans="1:43" ht="24.75">
      <c r="A117" s="21">
        <f t="shared" si="64"/>
        <v>76</v>
      </c>
      <c r="B117" s="45" t="s">
        <v>246</v>
      </c>
      <c r="C117" s="53" t="s">
        <v>247</v>
      </c>
      <c r="D117" s="83" t="s">
        <v>223</v>
      </c>
      <c r="E117" s="84" t="s">
        <v>79</v>
      </c>
      <c r="F117" s="85" t="s">
        <v>209</v>
      </c>
      <c r="G117" s="26">
        <f>567+30+50</f>
        <v>647</v>
      </c>
      <c r="H117" s="32">
        <f>G117*12</f>
        <v>7764</v>
      </c>
      <c r="I117" s="32">
        <v>60</v>
      </c>
      <c r="J117" s="36"/>
      <c r="K117" s="32">
        <f>G117</f>
        <v>647</v>
      </c>
      <c r="L117" s="32">
        <v>300</v>
      </c>
      <c r="M117" s="12"/>
      <c r="N117" s="24">
        <v>125</v>
      </c>
      <c r="O117" s="24"/>
      <c r="P117" s="12">
        <f t="shared" si="63"/>
        <v>651.85249999999996</v>
      </c>
      <c r="Q117" s="50"/>
      <c r="R117" s="12">
        <f>P117/13</f>
        <v>50.142499999999998</v>
      </c>
      <c r="S117" s="37"/>
      <c r="T117" s="37"/>
      <c r="U117" s="12">
        <f t="shared" si="59"/>
        <v>630.82499999999993</v>
      </c>
      <c r="V117" s="12">
        <f t="shared" si="60"/>
        <v>48.524999999999991</v>
      </c>
      <c r="W117" s="37"/>
      <c r="X117" s="37"/>
      <c r="Y117" s="12">
        <f>P117+S117+U117+W117</f>
        <v>1282.6774999999998</v>
      </c>
      <c r="Z117" s="12">
        <f t="shared" si="62"/>
        <v>84.11</v>
      </c>
      <c r="AA117" s="12">
        <f t="shared" si="61"/>
        <v>6.47</v>
      </c>
      <c r="AB117" s="37"/>
      <c r="AC117" s="37"/>
      <c r="AD117" s="37"/>
      <c r="AE117" s="37"/>
      <c r="AF117" s="37"/>
      <c r="AG117" s="37"/>
      <c r="AH117" s="37"/>
      <c r="AI117" s="12"/>
      <c r="AJ117" s="37"/>
      <c r="AK117" s="37"/>
      <c r="AL117" s="37"/>
      <c r="AM117" s="12"/>
      <c r="AN117" s="12"/>
      <c r="AO117" s="12"/>
      <c r="AP117" s="37"/>
      <c r="AQ117" s="37"/>
    </row>
    <row r="118" spans="1:43" ht="24.75">
      <c r="A118" s="21">
        <f t="shared" si="64"/>
        <v>77</v>
      </c>
      <c r="B118" s="104" t="s">
        <v>655</v>
      </c>
      <c r="C118" s="53" t="s">
        <v>247</v>
      </c>
      <c r="D118" s="83" t="s">
        <v>223</v>
      </c>
      <c r="E118" s="84" t="s">
        <v>79</v>
      </c>
      <c r="F118" s="85" t="s">
        <v>209</v>
      </c>
      <c r="G118" s="26">
        <f>567+30+50</f>
        <v>647</v>
      </c>
      <c r="H118" s="32">
        <f>G118*12</f>
        <v>7764</v>
      </c>
      <c r="I118" s="32">
        <v>60</v>
      </c>
      <c r="J118" s="36"/>
      <c r="K118" s="32">
        <f>G118</f>
        <v>647</v>
      </c>
      <c r="L118" s="32">
        <v>300</v>
      </c>
      <c r="M118" s="12"/>
      <c r="N118" s="24">
        <v>125</v>
      </c>
      <c r="O118" s="24"/>
      <c r="P118" s="12">
        <f>G118*0.0775*13</f>
        <v>651.85249999999996</v>
      </c>
      <c r="Q118" s="40"/>
      <c r="R118" s="12">
        <f>P118/13</f>
        <v>50.142499999999998</v>
      </c>
      <c r="S118" s="37"/>
      <c r="T118" s="37"/>
      <c r="U118" s="12">
        <f>G118*0.075*13</f>
        <v>630.82499999999993</v>
      </c>
      <c r="V118" s="12">
        <f>U118/13</f>
        <v>48.524999999999991</v>
      </c>
      <c r="W118" s="37"/>
      <c r="X118" s="37"/>
      <c r="Y118" s="12">
        <f>P118+S118+U118+W118</f>
        <v>1282.6774999999998</v>
      </c>
      <c r="Z118" s="12">
        <f>G118*0.01*13</f>
        <v>84.11</v>
      </c>
      <c r="AA118" s="12">
        <f>Z118/13</f>
        <v>6.47</v>
      </c>
      <c r="AB118" s="38"/>
      <c r="AC118" s="38"/>
      <c r="AD118" s="38"/>
      <c r="AE118" s="38"/>
      <c r="AF118" s="37"/>
      <c r="AG118" s="38"/>
      <c r="AH118" s="37"/>
      <c r="AI118" s="12"/>
      <c r="AJ118" s="38"/>
      <c r="AK118" s="38"/>
      <c r="AL118" s="38"/>
      <c r="AM118" s="12"/>
      <c r="AN118" s="12"/>
      <c r="AO118" s="12"/>
      <c r="AP118" s="38"/>
      <c r="AQ118" s="37"/>
    </row>
    <row r="119" spans="1:43" ht="24.75">
      <c r="A119" s="21">
        <f t="shared" si="64"/>
        <v>78</v>
      </c>
      <c r="B119" s="45" t="s">
        <v>248</v>
      </c>
      <c r="C119" s="53" t="s">
        <v>249</v>
      </c>
      <c r="D119" s="83" t="s">
        <v>223</v>
      </c>
      <c r="E119" s="84" t="s">
        <v>79</v>
      </c>
      <c r="F119" s="85" t="s">
        <v>209</v>
      </c>
      <c r="G119" s="26">
        <f>467+30+50</f>
        <v>547</v>
      </c>
      <c r="H119" s="32">
        <f>G119*12</f>
        <v>6564</v>
      </c>
      <c r="I119" s="32">
        <v>60</v>
      </c>
      <c r="J119" s="36"/>
      <c r="K119" s="32">
        <f>G119</f>
        <v>547</v>
      </c>
      <c r="L119" s="32">
        <v>300</v>
      </c>
      <c r="M119" s="12"/>
      <c r="N119" s="24">
        <v>125</v>
      </c>
      <c r="O119" s="24"/>
      <c r="P119" s="12">
        <f t="shared" si="63"/>
        <v>551.10249999999996</v>
      </c>
      <c r="Q119" s="9"/>
      <c r="R119" s="12">
        <f>P119/13</f>
        <v>42.392499999999998</v>
      </c>
      <c r="S119" s="37"/>
      <c r="T119" s="37"/>
      <c r="U119" s="12">
        <f t="shared" si="59"/>
        <v>533.32499999999993</v>
      </c>
      <c r="V119" s="12">
        <f t="shared" si="60"/>
        <v>41.024999999999991</v>
      </c>
      <c r="W119" s="37"/>
      <c r="X119" s="37"/>
      <c r="Y119" s="12">
        <f>P119+S119+U119+W119</f>
        <v>1084.4274999999998</v>
      </c>
      <c r="Z119" s="12">
        <f t="shared" si="62"/>
        <v>71.11</v>
      </c>
      <c r="AA119" s="12">
        <f t="shared" si="61"/>
        <v>5.47</v>
      </c>
      <c r="AB119" s="37"/>
      <c r="AC119" s="37"/>
      <c r="AD119" s="37"/>
      <c r="AE119" s="37"/>
      <c r="AF119" s="37"/>
      <c r="AG119" s="37"/>
      <c r="AH119" s="37"/>
      <c r="AI119" s="12"/>
      <c r="AJ119" s="37"/>
      <c r="AK119" s="37"/>
      <c r="AL119" s="37"/>
      <c r="AM119" s="12"/>
      <c r="AN119" s="12"/>
      <c r="AO119" s="12"/>
      <c r="AP119" s="37"/>
      <c r="AQ119" s="37"/>
    </row>
    <row r="120" spans="1:43">
      <c r="A120" s="21">
        <f t="shared" si="64"/>
        <v>79</v>
      </c>
      <c r="B120" s="45" t="s">
        <v>250</v>
      </c>
      <c r="C120" s="56" t="s">
        <v>251</v>
      </c>
      <c r="D120" s="83" t="s">
        <v>223</v>
      </c>
      <c r="E120" s="84" t="s">
        <v>79</v>
      </c>
      <c r="F120" s="85" t="s">
        <v>209</v>
      </c>
      <c r="G120" s="26">
        <f>645+30+50</f>
        <v>725</v>
      </c>
      <c r="H120" s="32">
        <f t="shared" si="57"/>
        <v>8700</v>
      </c>
      <c r="I120" s="32">
        <v>60</v>
      </c>
      <c r="J120" s="36"/>
      <c r="K120" s="32">
        <f t="shared" si="58"/>
        <v>725</v>
      </c>
      <c r="L120" s="32">
        <v>300</v>
      </c>
      <c r="M120" s="12"/>
      <c r="N120" s="24">
        <v>125</v>
      </c>
      <c r="O120" s="24"/>
      <c r="P120" s="12">
        <f t="shared" si="63"/>
        <v>730.4375</v>
      </c>
      <c r="Q120" s="9">
        <f>P120/13</f>
        <v>56.1875</v>
      </c>
      <c r="R120" s="12"/>
      <c r="S120" s="12"/>
      <c r="T120" s="12"/>
      <c r="U120" s="12">
        <f t="shared" si="59"/>
        <v>706.875</v>
      </c>
      <c r="V120" s="12">
        <f t="shared" si="60"/>
        <v>54.375</v>
      </c>
      <c r="W120" s="37"/>
      <c r="X120" s="37"/>
      <c r="Y120" s="12">
        <f>P120+S120+U120+W120+0.01</f>
        <v>1437.3225</v>
      </c>
      <c r="Z120" s="12">
        <f t="shared" si="62"/>
        <v>94.25</v>
      </c>
      <c r="AA120" s="12">
        <f t="shared" si="61"/>
        <v>7.25</v>
      </c>
      <c r="AB120" s="37"/>
      <c r="AC120" s="37"/>
      <c r="AD120" s="37"/>
      <c r="AE120" s="37"/>
      <c r="AF120" s="37"/>
      <c r="AG120" s="37"/>
      <c r="AH120" s="37"/>
      <c r="AI120" s="12"/>
      <c r="AJ120" s="37"/>
      <c r="AK120" s="37"/>
      <c r="AL120" s="37"/>
      <c r="AM120" s="12"/>
      <c r="AN120" s="12"/>
      <c r="AO120" s="12"/>
      <c r="AP120" s="37"/>
      <c r="AQ120" s="37"/>
    </row>
    <row r="121" spans="1:43">
      <c r="A121" s="21">
        <f t="shared" si="64"/>
        <v>80</v>
      </c>
      <c r="B121" s="45" t="s">
        <v>252</v>
      </c>
      <c r="C121" s="56" t="s">
        <v>253</v>
      </c>
      <c r="D121" s="83" t="s">
        <v>223</v>
      </c>
      <c r="E121" s="84" t="s">
        <v>79</v>
      </c>
      <c r="F121" s="85" t="s">
        <v>209</v>
      </c>
      <c r="G121" s="26">
        <f>554+30+50</f>
        <v>634</v>
      </c>
      <c r="H121" s="32">
        <f t="shared" si="57"/>
        <v>7608</v>
      </c>
      <c r="I121" s="32">
        <v>60</v>
      </c>
      <c r="J121" s="36"/>
      <c r="K121" s="32">
        <f t="shared" si="58"/>
        <v>634</v>
      </c>
      <c r="L121" s="32">
        <v>300</v>
      </c>
      <c r="M121" s="12"/>
      <c r="N121" s="24">
        <v>125</v>
      </c>
      <c r="O121" s="24"/>
      <c r="P121" s="12">
        <f t="shared" si="63"/>
        <v>638.755</v>
      </c>
      <c r="Q121" s="40"/>
      <c r="R121" s="12">
        <f>P121/13</f>
        <v>49.134999999999998</v>
      </c>
      <c r="S121" s="37"/>
      <c r="T121" s="37"/>
      <c r="U121" s="12">
        <f t="shared" si="59"/>
        <v>618.15</v>
      </c>
      <c r="V121" s="12">
        <f t="shared" si="60"/>
        <v>47.55</v>
      </c>
      <c r="W121" s="12"/>
      <c r="X121" s="12"/>
      <c r="Y121" s="12">
        <f>P121+S121+U121+W121</f>
        <v>1256.905</v>
      </c>
      <c r="Z121" s="12">
        <f t="shared" si="62"/>
        <v>82.42</v>
      </c>
      <c r="AA121" s="12">
        <f t="shared" si="61"/>
        <v>6.34</v>
      </c>
      <c r="AB121" s="37"/>
      <c r="AC121" s="37"/>
      <c r="AD121" s="37"/>
      <c r="AE121" s="37"/>
      <c r="AF121" s="37"/>
      <c r="AG121" s="37"/>
      <c r="AH121" s="37"/>
      <c r="AI121" s="12"/>
      <c r="AJ121" s="37"/>
      <c r="AK121" s="37"/>
      <c r="AL121" s="37"/>
      <c r="AM121" s="12"/>
      <c r="AN121" s="12"/>
      <c r="AO121" s="12"/>
      <c r="AP121" s="37"/>
      <c r="AQ121" s="37"/>
    </row>
    <row r="122" spans="1:43">
      <c r="A122" s="21">
        <f t="shared" si="64"/>
        <v>81</v>
      </c>
      <c r="B122" s="45" t="s">
        <v>254</v>
      </c>
      <c r="C122" s="56" t="s">
        <v>253</v>
      </c>
      <c r="D122" s="83" t="s">
        <v>223</v>
      </c>
      <c r="E122" s="84" t="s">
        <v>79</v>
      </c>
      <c r="F122" s="85" t="s">
        <v>209</v>
      </c>
      <c r="G122" s="26">
        <f>467+30+50</f>
        <v>547</v>
      </c>
      <c r="H122" s="32">
        <f t="shared" si="57"/>
        <v>6564</v>
      </c>
      <c r="I122" s="32">
        <v>60</v>
      </c>
      <c r="J122" s="36"/>
      <c r="K122" s="32">
        <f t="shared" si="58"/>
        <v>547</v>
      </c>
      <c r="L122" s="32">
        <v>300</v>
      </c>
      <c r="M122" s="37"/>
      <c r="N122" s="24">
        <v>125</v>
      </c>
      <c r="O122" s="24"/>
      <c r="P122" s="12">
        <f t="shared" si="63"/>
        <v>551.10249999999996</v>
      </c>
      <c r="Q122" s="9">
        <f>P122/13</f>
        <v>42.392499999999998</v>
      </c>
      <c r="R122" s="12"/>
      <c r="S122" s="12"/>
      <c r="T122" s="12"/>
      <c r="U122" s="12">
        <f t="shared" si="59"/>
        <v>533.32499999999993</v>
      </c>
      <c r="V122" s="12">
        <f t="shared" si="60"/>
        <v>41.024999999999991</v>
      </c>
      <c r="W122" s="12"/>
      <c r="X122" s="12"/>
      <c r="Y122" s="12">
        <f>P122+S122+U122+W122</f>
        <v>1084.4274999999998</v>
      </c>
      <c r="Z122" s="12">
        <f t="shared" si="62"/>
        <v>71.11</v>
      </c>
      <c r="AA122" s="12">
        <f t="shared" si="61"/>
        <v>5.47</v>
      </c>
      <c r="AB122" s="12"/>
      <c r="AC122" s="12"/>
      <c r="AD122" s="12"/>
      <c r="AE122" s="12"/>
      <c r="AF122" s="12"/>
      <c r="AG122" s="12"/>
      <c r="AH122" s="12"/>
      <c r="AI122" s="12"/>
      <c r="AJ122" s="12"/>
      <c r="AK122" s="37"/>
      <c r="AL122" s="37"/>
      <c r="AM122" s="12"/>
      <c r="AN122" s="12"/>
      <c r="AO122" s="12"/>
      <c r="AP122" s="37"/>
      <c r="AQ122" s="37"/>
    </row>
    <row r="123" spans="1:43">
      <c r="A123" s="21">
        <f t="shared" si="64"/>
        <v>82</v>
      </c>
      <c r="B123" s="45" t="s">
        <v>255</v>
      </c>
      <c r="C123" s="56" t="s">
        <v>256</v>
      </c>
      <c r="D123" s="83" t="s">
        <v>223</v>
      </c>
      <c r="E123" s="84" t="s">
        <v>79</v>
      </c>
      <c r="F123" s="85" t="s">
        <v>209</v>
      </c>
      <c r="G123" s="26">
        <f>417+50</f>
        <v>467</v>
      </c>
      <c r="H123" s="32">
        <f>G123*12</f>
        <v>5604</v>
      </c>
      <c r="I123" s="32">
        <v>60</v>
      </c>
      <c r="J123" s="36"/>
      <c r="K123" s="32">
        <f>G123</f>
        <v>467</v>
      </c>
      <c r="L123" s="32">
        <v>300</v>
      </c>
      <c r="M123" s="37"/>
      <c r="N123" s="24">
        <v>125</v>
      </c>
      <c r="O123" s="24"/>
      <c r="P123" s="12">
        <f t="shared" si="63"/>
        <v>470.50250000000005</v>
      </c>
      <c r="Q123" s="12"/>
      <c r="R123" s="12">
        <f>P123/13</f>
        <v>36.192500000000003</v>
      </c>
      <c r="S123" s="37"/>
      <c r="T123" s="37"/>
      <c r="U123" s="12">
        <f t="shared" si="59"/>
        <v>455.32499999999999</v>
      </c>
      <c r="V123" s="12">
        <f t="shared" si="60"/>
        <v>35.024999999999999</v>
      </c>
      <c r="W123" s="37"/>
      <c r="X123" s="37"/>
      <c r="Y123" s="12">
        <f>P123+S123+U123+W123</f>
        <v>925.8275000000001</v>
      </c>
      <c r="Z123" s="12">
        <f t="shared" si="62"/>
        <v>60.71</v>
      </c>
      <c r="AA123" s="12">
        <f t="shared" si="61"/>
        <v>4.67</v>
      </c>
      <c r="AB123" s="38"/>
      <c r="AC123" s="38"/>
      <c r="AD123" s="38"/>
      <c r="AE123" s="38"/>
      <c r="AF123" s="37"/>
      <c r="AG123" s="38"/>
      <c r="AH123" s="37"/>
      <c r="AI123" s="12"/>
      <c r="AJ123" s="38"/>
      <c r="AK123" s="38"/>
      <c r="AL123" s="38"/>
      <c r="AM123" s="12"/>
      <c r="AN123" s="12"/>
      <c r="AO123" s="12"/>
      <c r="AP123" s="38"/>
      <c r="AQ123" s="37"/>
    </row>
    <row r="124" spans="1:43" ht="15.75">
      <c r="A124" s="21"/>
      <c r="B124" s="54"/>
      <c r="C124" s="86" t="s">
        <v>257</v>
      </c>
      <c r="D124" s="90"/>
      <c r="E124" s="84"/>
      <c r="F124" s="85"/>
      <c r="G124" s="87">
        <f t="shared" ref="G124:N124" si="65">SUM(G105:G123)</f>
        <v>12118.720000000001</v>
      </c>
      <c r="H124" s="30">
        <f t="shared" si="65"/>
        <v>145424.64000000001</v>
      </c>
      <c r="I124" s="30">
        <f t="shared" si="65"/>
        <v>1140</v>
      </c>
      <c r="J124" s="30">
        <f t="shared" si="65"/>
        <v>0</v>
      </c>
      <c r="K124" s="30">
        <f t="shared" si="65"/>
        <v>12118.720000000001</v>
      </c>
      <c r="L124" s="30">
        <f t="shared" si="65"/>
        <v>5700</v>
      </c>
      <c r="M124" s="20">
        <f t="shared" si="65"/>
        <v>0</v>
      </c>
      <c r="N124" s="31">
        <f t="shared" si="65"/>
        <v>2375</v>
      </c>
      <c r="O124" s="31"/>
      <c r="P124" s="20">
        <f>SUM(P105:P123)</f>
        <v>12209.6104</v>
      </c>
      <c r="Q124" s="20">
        <f>SUM(Q105:Q123)</f>
        <v>418.12412499999999</v>
      </c>
      <c r="R124" s="20">
        <f>SUM(R105:R123)-0.01</f>
        <v>521.06667499999992</v>
      </c>
      <c r="S124" s="20">
        <f>SUM(S105:S123)</f>
        <v>0</v>
      </c>
      <c r="T124" s="20">
        <f>SUM(T105:T123)</f>
        <v>0</v>
      </c>
      <c r="U124" s="20">
        <f>SUM(U105:U123)+0.07</f>
        <v>11815.822000000002</v>
      </c>
      <c r="V124" s="20">
        <f>SUM(V105:V123)+0.07</f>
        <v>908.97399999999982</v>
      </c>
      <c r="W124" s="20">
        <f>SUM(W105:W123)</f>
        <v>0</v>
      </c>
      <c r="X124" s="20">
        <f>SUM(X105:X123)</f>
        <v>0</v>
      </c>
      <c r="Y124" s="20">
        <f>SUM(Y105:Y123)+0.01</f>
        <v>24025.432399999994</v>
      </c>
      <c r="Z124" s="20">
        <f t="shared" ref="Z124:AQ124" si="66">SUM(Z105:Z123)</f>
        <v>1582.5094999999999</v>
      </c>
      <c r="AA124" s="20">
        <f t="shared" si="66"/>
        <v>121.73150000000001</v>
      </c>
      <c r="AB124" s="20">
        <f t="shared" si="66"/>
        <v>0</v>
      </c>
      <c r="AC124" s="20">
        <f t="shared" si="66"/>
        <v>0</v>
      </c>
      <c r="AD124" s="20">
        <f t="shared" si="66"/>
        <v>0</v>
      </c>
      <c r="AE124" s="20">
        <f t="shared" si="66"/>
        <v>0</v>
      </c>
      <c r="AF124" s="20">
        <f t="shared" si="66"/>
        <v>0</v>
      </c>
      <c r="AG124" s="20">
        <f t="shared" si="66"/>
        <v>0</v>
      </c>
      <c r="AH124" s="20">
        <f t="shared" si="66"/>
        <v>0</v>
      </c>
      <c r="AI124" s="20">
        <f t="shared" si="66"/>
        <v>0</v>
      </c>
      <c r="AJ124" s="20">
        <f t="shared" si="66"/>
        <v>0</v>
      </c>
      <c r="AK124" s="20">
        <f t="shared" si="66"/>
        <v>0</v>
      </c>
      <c r="AL124" s="20">
        <f t="shared" si="66"/>
        <v>0</v>
      </c>
      <c r="AM124" s="20">
        <f t="shared" si="66"/>
        <v>0</v>
      </c>
      <c r="AN124" s="20">
        <f t="shared" si="66"/>
        <v>0</v>
      </c>
      <c r="AO124" s="20">
        <f t="shared" si="66"/>
        <v>0</v>
      </c>
      <c r="AP124" s="20">
        <f t="shared" si="66"/>
        <v>0</v>
      </c>
      <c r="AQ124" s="20">
        <f t="shared" si="66"/>
        <v>0</v>
      </c>
    </row>
    <row r="125" spans="1:43">
      <c r="A125" s="21">
        <f>A123+1</f>
        <v>83</v>
      </c>
      <c r="B125" s="42" t="s">
        <v>258</v>
      </c>
      <c r="C125" s="56" t="s">
        <v>259</v>
      </c>
      <c r="D125" s="83" t="s">
        <v>260</v>
      </c>
      <c r="E125" s="84" t="s">
        <v>79</v>
      </c>
      <c r="F125" s="85" t="s">
        <v>209</v>
      </c>
      <c r="G125" s="26">
        <v>1200</v>
      </c>
      <c r="H125" s="32">
        <f t="shared" ref="H125:H133" si="67">G125*12</f>
        <v>14400</v>
      </c>
      <c r="I125" s="32">
        <v>60</v>
      </c>
      <c r="J125" s="36"/>
      <c r="K125" s="32">
        <f t="shared" ref="K125:K133" si="68">G125</f>
        <v>1200</v>
      </c>
      <c r="L125" s="32">
        <v>300</v>
      </c>
      <c r="M125" s="12"/>
      <c r="N125" s="24">
        <v>125</v>
      </c>
      <c r="O125" s="24"/>
      <c r="P125" s="12">
        <f t="shared" ref="P125:P133" si="69">G125*0.0775*13</f>
        <v>1209</v>
      </c>
      <c r="Q125" s="9">
        <f>P125/13</f>
        <v>93</v>
      </c>
      <c r="R125" s="12"/>
      <c r="S125" s="37"/>
      <c r="T125" s="37"/>
      <c r="U125" s="12">
        <f>75*13</f>
        <v>975</v>
      </c>
      <c r="V125" s="12">
        <f t="shared" ref="V125:V137" si="70">U125/13</f>
        <v>75</v>
      </c>
      <c r="W125" s="37"/>
      <c r="X125" s="37"/>
      <c r="Y125" s="12">
        <f t="shared" ref="Y125:Y128" si="71">P125+S125+U125+W125</f>
        <v>2184</v>
      </c>
      <c r="Z125" s="12">
        <f>10*13</f>
        <v>130</v>
      </c>
      <c r="AA125" s="12">
        <f t="shared" ref="AA125:AA137" si="72">Z125/13</f>
        <v>10</v>
      </c>
      <c r="AB125" s="12"/>
      <c r="AC125" s="12"/>
      <c r="AD125" s="12"/>
      <c r="AE125" s="38"/>
      <c r="AF125" s="37"/>
      <c r="AG125" s="38"/>
      <c r="AH125" s="37"/>
      <c r="AI125" s="12"/>
      <c r="AJ125" s="12"/>
      <c r="AK125" s="12"/>
      <c r="AL125" s="12"/>
      <c r="AM125" s="12"/>
      <c r="AN125" s="12"/>
      <c r="AO125" s="12"/>
      <c r="AP125" s="12"/>
      <c r="AQ125" s="37"/>
    </row>
    <row r="126" spans="1:43">
      <c r="A126" s="55">
        <f>A125+1</f>
        <v>84</v>
      </c>
      <c r="B126" s="45" t="s">
        <v>261</v>
      </c>
      <c r="C126" s="51" t="s">
        <v>262</v>
      </c>
      <c r="D126" s="83" t="s">
        <v>260</v>
      </c>
      <c r="E126" s="84" t="s">
        <v>79</v>
      </c>
      <c r="F126" s="85" t="s">
        <v>209</v>
      </c>
      <c r="G126" s="26">
        <f>920+30+50</f>
        <v>1000</v>
      </c>
      <c r="H126" s="32">
        <f>G126*12</f>
        <v>12000</v>
      </c>
      <c r="I126" s="32">
        <v>60</v>
      </c>
      <c r="J126" s="36"/>
      <c r="K126" s="32">
        <f>G126</f>
        <v>1000</v>
      </c>
      <c r="L126" s="32">
        <v>300</v>
      </c>
      <c r="M126" s="12"/>
      <c r="N126" s="24">
        <v>125</v>
      </c>
      <c r="O126" s="24"/>
      <c r="P126" s="12">
        <f>G126*0.0775*13</f>
        <v>1007.5</v>
      </c>
      <c r="Q126" s="40"/>
      <c r="R126" s="12">
        <f>P126/13</f>
        <v>77.5</v>
      </c>
      <c r="S126" s="37"/>
      <c r="T126" s="37"/>
      <c r="U126" s="12">
        <f>G126*0.075*13</f>
        <v>975</v>
      </c>
      <c r="V126" s="12">
        <f>U126/13</f>
        <v>75</v>
      </c>
      <c r="W126" s="37"/>
      <c r="X126" s="37"/>
      <c r="Y126" s="12">
        <f t="shared" si="71"/>
        <v>1982.5</v>
      </c>
      <c r="Z126" s="12">
        <f>G126*0.01*13</f>
        <v>130</v>
      </c>
      <c r="AA126" s="12">
        <f>Z126/13</f>
        <v>10</v>
      </c>
      <c r="AB126" s="38"/>
      <c r="AC126" s="38"/>
      <c r="AD126" s="38"/>
      <c r="AE126" s="38"/>
      <c r="AF126" s="37"/>
      <c r="AG126" s="38"/>
      <c r="AH126" s="37"/>
      <c r="AI126" s="12"/>
      <c r="AJ126" s="38"/>
      <c r="AK126" s="38"/>
      <c r="AL126" s="38"/>
      <c r="AM126" s="12"/>
      <c r="AN126" s="12"/>
      <c r="AO126" s="12"/>
      <c r="AP126" s="38"/>
      <c r="AQ126" s="37"/>
    </row>
    <row r="127" spans="1:43">
      <c r="A127" s="55">
        <f>A126+1</f>
        <v>85</v>
      </c>
      <c r="B127" s="45" t="s">
        <v>263</v>
      </c>
      <c r="C127" s="56" t="s">
        <v>262</v>
      </c>
      <c r="D127" s="83" t="s">
        <v>260</v>
      </c>
      <c r="E127" s="84" t="s">
        <v>79</v>
      </c>
      <c r="F127" s="85" t="s">
        <v>209</v>
      </c>
      <c r="G127" s="26">
        <f>629.57+30+50</f>
        <v>709.57</v>
      </c>
      <c r="H127" s="32">
        <f>G127*12</f>
        <v>8514.84</v>
      </c>
      <c r="I127" s="32">
        <v>60</v>
      </c>
      <c r="J127" s="36"/>
      <c r="K127" s="32">
        <f>G127</f>
        <v>709.57</v>
      </c>
      <c r="L127" s="32">
        <v>300</v>
      </c>
      <c r="M127" s="12"/>
      <c r="N127" s="24">
        <v>125</v>
      </c>
      <c r="O127" s="24"/>
      <c r="P127" s="12">
        <f t="shared" si="69"/>
        <v>714.89177500000005</v>
      </c>
      <c r="Q127" s="9">
        <f>P127/13</f>
        <v>54.991675000000001</v>
      </c>
      <c r="R127" s="12"/>
      <c r="S127" s="37"/>
      <c r="T127" s="37"/>
      <c r="U127" s="12">
        <f t="shared" ref="U127:U137" si="73">G127*0.075*13</f>
        <v>691.83075000000008</v>
      </c>
      <c r="V127" s="12">
        <f t="shared" si="70"/>
        <v>53.217750000000009</v>
      </c>
      <c r="W127" s="37"/>
      <c r="X127" s="37"/>
      <c r="Y127" s="12">
        <f t="shared" si="71"/>
        <v>1406.7225250000001</v>
      </c>
      <c r="Z127" s="12">
        <f t="shared" ref="Z127:Z137" si="74">G127*0.01*13</f>
        <v>92.244100000000003</v>
      </c>
      <c r="AA127" s="12">
        <f t="shared" si="72"/>
        <v>7.0956999999999999</v>
      </c>
      <c r="AB127" s="38"/>
      <c r="AC127" s="38"/>
      <c r="AD127" s="38"/>
      <c r="AE127" s="38"/>
      <c r="AF127" s="37"/>
      <c r="AG127" s="38"/>
      <c r="AH127" s="37"/>
      <c r="AI127" s="12"/>
      <c r="AJ127" s="38"/>
      <c r="AK127" s="38"/>
      <c r="AL127" s="38"/>
      <c r="AM127" s="12"/>
      <c r="AN127" s="12"/>
      <c r="AO127" s="12"/>
      <c r="AP127" s="38"/>
      <c r="AQ127" s="37"/>
    </row>
    <row r="128" spans="1:43">
      <c r="A128" s="21">
        <f t="shared" ref="A128:A137" si="75">A127+1</f>
        <v>86</v>
      </c>
      <c r="B128" s="45" t="s">
        <v>264</v>
      </c>
      <c r="C128" s="56" t="s">
        <v>265</v>
      </c>
      <c r="D128" s="83" t="s">
        <v>260</v>
      </c>
      <c r="E128" s="84" t="s">
        <v>79</v>
      </c>
      <c r="F128" s="85" t="s">
        <v>209</v>
      </c>
      <c r="G128" s="26">
        <f>622.29+30+50</f>
        <v>702.29</v>
      </c>
      <c r="H128" s="32">
        <f t="shared" si="67"/>
        <v>8427.48</v>
      </c>
      <c r="I128" s="32">
        <v>60</v>
      </c>
      <c r="J128" s="36"/>
      <c r="K128" s="32">
        <f t="shared" si="68"/>
        <v>702.29</v>
      </c>
      <c r="L128" s="32">
        <v>300</v>
      </c>
      <c r="M128" s="12"/>
      <c r="N128" s="24">
        <v>125</v>
      </c>
      <c r="O128" s="24"/>
      <c r="P128" s="12">
        <f t="shared" si="69"/>
        <v>707.55717499999992</v>
      </c>
      <c r="Q128" s="9">
        <f>P128/13</f>
        <v>54.427474999999994</v>
      </c>
      <c r="R128" s="12"/>
      <c r="S128" s="37"/>
      <c r="T128" s="37"/>
      <c r="U128" s="12">
        <f t="shared" si="73"/>
        <v>684.7327499999999</v>
      </c>
      <c r="V128" s="12">
        <f t="shared" si="70"/>
        <v>52.671749999999989</v>
      </c>
      <c r="W128" s="37"/>
      <c r="X128" s="37"/>
      <c r="Y128" s="12">
        <f t="shared" si="71"/>
        <v>1392.2899249999998</v>
      </c>
      <c r="Z128" s="12">
        <f t="shared" si="74"/>
        <v>91.297699999999992</v>
      </c>
      <c r="AA128" s="12">
        <f t="shared" si="72"/>
        <v>7.022899999999999</v>
      </c>
      <c r="AB128" s="12">
        <f>G128/30/7*1.5*45</f>
        <v>225.73607142857139</v>
      </c>
      <c r="AC128" s="12"/>
      <c r="AD128" s="12"/>
      <c r="AE128" s="12">
        <f>AB128*0.0775</f>
        <v>17.494545535714284</v>
      </c>
      <c r="AF128" s="12"/>
      <c r="AG128" s="12">
        <f>AB128*0.075</f>
        <v>16.930205357142853</v>
      </c>
      <c r="AH128" s="12"/>
      <c r="AI128" s="12">
        <f>AE128+AF128+AG128+AH128</f>
        <v>34.424750892857134</v>
      </c>
      <c r="AJ128" s="12">
        <f>AB128*0.01</f>
        <v>2.2573607142857139</v>
      </c>
      <c r="AK128" s="38"/>
      <c r="AL128" s="38"/>
      <c r="AM128" s="12"/>
      <c r="AN128" s="12"/>
      <c r="AO128" s="12"/>
      <c r="AP128" s="38"/>
      <c r="AQ128" s="37"/>
    </row>
    <row r="129" spans="1:43">
      <c r="A129" s="21">
        <f t="shared" si="75"/>
        <v>87</v>
      </c>
      <c r="B129" s="42" t="s">
        <v>266</v>
      </c>
      <c r="C129" s="56" t="s">
        <v>267</v>
      </c>
      <c r="D129" s="83" t="s">
        <v>260</v>
      </c>
      <c r="E129" s="84" t="s">
        <v>79</v>
      </c>
      <c r="F129" s="85" t="s">
        <v>209</v>
      </c>
      <c r="G129" s="26">
        <f>597+30+50</f>
        <v>677</v>
      </c>
      <c r="H129" s="32">
        <f t="shared" si="67"/>
        <v>8124</v>
      </c>
      <c r="I129" s="32">
        <v>60</v>
      </c>
      <c r="J129" s="32"/>
      <c r="K129" s="32">
        <f t="shared" si="68"/>
        <v>677</v>
      </c>
      <c r="L129" s="32">
        <v>300</v>
      </c>
      <c r="M129" s="12"/>
      <c r="N129" s="24">
        <v>125</v>
      </c>
      <c r="O129" s="24"/>
      <c r="P129" s="12">
        <f t="shared" si="69"/>
        <v>682.07749999999999</v>
      </c>
      <c r="Q129" s="9">
        <f>P129/13</f>
        <v>52.467500000000001</v>
      </c>
      <c r="R129" s="12"/>
      <c r="S129" s="12"/>
      <c r="T129" s="12"/>
      <c r="U129" s="12">
        <f t="shared" si="73"/>
        <v>660.07499999999993</v>
      </c>
      <c r="V129" s="12">
        <f t="shared" si="70"/>
        <v>50.774999999999991</v>
      </c>
      <c r="W129" s="12"/>
      <c r="X129" s="12"/>
      <c r="Y129" s="12">
        <f t="shared" ref="Y129" si="76">P129+S129+U129+W129+0.01</f>
        <v>1342.1624999999999</v>
      </c>
      <c r="Z129" s="12">
        <f t="shared" si="74"/>
        <v>88.01</v>
      </c>
      <c r="AA129" s="12">
        <f t="shared" si="72"/>
        <v>6.7700000000000005</v>
      </c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1:43">
      <c r="A130" s="21">
        <f t="shared" si="75"/>
        <v>88</v>
      </c>
      <c r="B130" s="45" t="s">
        <v>268</v>
      </c>
      <c r="C130" s="56" t="s">
        <v>269</v>
      </c>
      <c r="D130" s="83" t="s">
        <v>260</v>
      </c>
      <c r="E130" s="84" t="s">
        <v>79</v>
      </c>
      <c r="F130" s="85" t="s">
        <v>209</v>
      </c>
      <c r="G130" s="26">
        <f>629.57+30+50</f>
        <v>709.57</v>
      </c>
      <c r="H130" s="32">
        <f>G130*12</f>
        <v>8514.84</v>
      </c>
      <c r="I130" s="32">
        <v>60</v>
      </c>
      <c r="J130" s="36"/>
      <c r="K130" s="32">
        <f>G130</f>
        <v>709.57</v>
      </c>
      <c r="L130" s="32">
        <v>300</v>
      </c>
      <c r="M130" s="12"/>
      <c r="N130" s="24">
        <v>125</v>
      </c>
      <c r="O130" s="24"/>
      <c r="P130" s="12">
        <f>G130*0.0775*13</f>
        <v>714.89177500000005</v>
      </c>
      <c r="Q130" s="9">
        <f>P130/13</f>
        <v>54.991675000000001</v>
      </c>
      <c r="R130" s="12"/>
      <c r="S130" s="37"/>
      <c r="T130" s="37"/>
      <c r="U130" s="12">
        <f>G130*0.075*13</f>
        <v>691.83075000000008</v>
      </c>
      <c r="V130" s="12">
        <f>U130/13</f>
        <v>53.217750000000009</v>
      </c>
      <c r="W130" s="37"/>
      <c r="X130" s="37"/>
      <c r="Y130" s="12">
        <f>P130+S130+U130+W130</f>
        <v>1406.7225250000001</v>
      </c>
      <c r="Z130" s="12">
        <f>G130*0.01*13</f>
        <v>92.244100000000003</v>
      </c>
      <c r="AA130" s="12">
        <f>Z130/13</f>
        <v>7.0956999999999999</v>
      </c>
      <c r="AB130" s="12">
        <f>G130/30/7*1.5*45</f>
        <v>228.07607142857145</v>
      </c>
      <c r="AC130" s="12"/>
      <c r="AD130" s="12"/>
      <c r="AE130" s="12">
        <f>AB130*0.0775</f>
        <v>17.675895535714286</v>
      </c>
      <c r="AF130" s="37"/>
      <c r="AG130" s="12">
        <f>AB130*0.075</f>
        <v>17.10570535714286</v>
      </c>
      <c r="AH130" s="12"/>
      <c r="AI130" s="12">
        <f>AE130+AF130+AG130+AH130+0.01</f>
        <v>34.79160089285714</v>
      </c>
      <c r="AJ130" s="12">
        <f>AB130*0.01</f>
        <v>2.2807607142857145</v>
      </c>
      <c r="AK130" s="38"/>
      <c r="AL130" s="38"/>
      <c r="AM130" s="12"/>
      <c r="AN130" s="12"/>
      <c r="AO130" s="12"/>
      <c r="AP130" s="38"/>
      <c r="AQ130" s="37"/>
    </row>
    <row r="131" spans="1:43">
      <c r="A131" s="21">
        <f t="shared" si="75"/>
        <v>89</v>
      </c>
      <c r="B131" s="45" t="s">
        <v>270</v>
      </c>
      <c r="C131" s="56" t="s">
        <v>271</v>
      </c>
      <c r="D131" s="83" t="s">
        <v>260</v>
      </c>
      <c r="E131" s="84" t="s">
        <v>79</v>
      </c>
      <c r="F131" s="85" t="s">
        <v>209</v>
      </c>
      <c r="G131" s="26">
        <f>597+30+50</f>
        <v>677</v>
      </c>
      <c r="H131" s="32">
        <f>G131*12</f>
        <v>8124</v>
      </c>
      <c r="I131" s="32">
        <v>60</v>
      </c>
      <c r="J131" s="32"/>
      <c r="K131" s="32">
        <f>G131</f>
        <v>677</v>
      </c>
      <c r="L131" s="32">
        <v>300</v>
      </c>
      <c r="M131" s="12"/>
      <c r="N131" s="24">
        <v>125</v>
      </c>
      <c r="O131" s="24"/>
      <c r="P131" s="12">
        <f>G131*0.0775*13</f>
        <v>682.07749999999999</v>
      </c>
      <c r="Q131" s="40"/>
      <c r="R131" s="12">
        <f>P131/13</f>
        <v>52.467500000000001</v>
      </c>
      <c r="S131" s="12"/>
      <c r="T131" s="12"/>
      <c r="U131" s="12">
        <f>G131*0.075*13</f>
        <v>660.07499999999993</v>
      </c>
      <c r="V131" s="12">
        <f>U131/13</f>
        <v>50.774999999999991</v>
      </c>
      <c r="W131" s="12"/>
      <c r="X131" s="12"/>
      <c r="Y131" s="12">
        <f>P131+S131+U131+W131+0.01</f>
        <v>1342.1624999999999</v>
      </c>
      <c r="Z131" s="12">
        <f>G131*0.01*13</f>
        <v>88.01</v>
      </c>
      <c r="AA131" s="12">
        <f>Z131/13</f>
        <v>6.7700000000000005</v>
      </c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1:43">
      <c r="A132" s="21">
        <f t="shared" si="75"/>
        <v>90</v>
      </c>
      <c r="B132" s="27" t="s">
        <v>272</v>
      </c>
      <c r="C132" s="56" t="s">
        <v>273</v>
      </c>
      <c r="D132" s="83" t="s">
        <v>260</v>
      </c>
      <c r="E132" s="84" t="s">
        <v>79</v>
      </c>
      <c r="F132" s="85" t="s">
        <v>209</v>
      </c>
      <c r="G132" s="26">
        <v>647</v>
      </c>
      <c r="H132" s="32">
        <f>G132*12</f>
        <v>7764</v>
      </c>
      <c r="I132" s="32">
        <v>60</v>
      </c>
      <c r="J132" s="36"/>
      <c r="K132" s="32">
        <f>G132</f>
        <v>647</v>
      </c>
      <c r="L132" s="32">
        <v>300</v>
      </c>
      <c r="M132" s="12"/>
      <c r="N132" s="24">
        <v>125</v>
      </c>
      <c r="O132" s="24"/>
      <c r="P132" s="12">
        <f>G132*0.0775*13</f>
        <v>651.85249999999996</v>
      </c>
      <c r="Q132" s="40"/>
      <c r="R132" s="12">
        <f>P132/13</f>
        <v>50.142499999999998</v>
      </c>
      <c r="S132" s="37"/>
      <c r="T132" s="37"/>
      <c r="U132" s="12">
        <f>G132*0.075*13</f>
        <v>630.82499999999993</v>
      </c>
      <c r="V132" s="12">
        <f>U132/13</f>
        <v>48.524999999999991</v>
      </c>
      <c r="W132" s="37"/>
      <c r="X132" s="37"/>
      <c r="Y132" s="12">
        <f t="shared" ref="Y132:Y137" si="77">P132+S132+U132+W132</f>
        <v>1282.6774999999998</v>
      </c>
      <c r="Z132" s="12">
        <f>G132*0.01*13</f>
        <v>84.11</v>
      </c>
      <c r="AA132" s="12">
        <f>Z132/13</f>
        <v>6.47</v>
      </c>
      <c r="AB132" s="38"/>
      <c r="AC132" s="38"/>
      <c r="AD132" s="38"/>
      <c r="AE132" s="38"/>
      <c r="AF132" s="37"/>
      <c r="AG132" s="38"/>
      <c r="AH132" s="37"/>
      <c r="AI132" s="12"/>
      <c r="AJ132" s="38"/>
      <c r="AK132" s="38"/>
      <c r="AL132" s="38"/>
      <c r="AM132" s="12"/>
      <c r="AN132" s="12"/>
      <c r="AO132" s="12"/>
      <c r="AP132" s="38"/>
      <c r="AQ132" s="37"/>
    </row>
    <row r="133" spans="1:43">
      <c r="A133" s="21">
        <f t="shared" si="75"/>
        <v>91</v>
      </c>
      <c r="B133" s="45" t="s">
        <v>274</v>
      </c>
      <c r="C133" s="56" t="s">
        <v>275</v>
      </c>
      <c r="D133" s="83" t="s">
        <v>260</v>
      </c>
      <c r="E133" s="84" t="s">
        <v>79</v>
      </c>
      <c r="F133" s="85" t="s">
        <v>209</v>
      </c>
      <c r="G133" s="26">
        <f>567+30+50</f>
        <v>647</v>
      </c>
      <c r="H133" s="32">
        <f t="shared" si="67"/>
        <v>7764</v>
      </c>
      <c r="I133" s="32">
        <v>60</v>
      </c>
      <c r="J133" s="36"/>
      <c r="K133" s="32">
        <f t="shared" si="68"/>
        <v>647</v>
      </c>
      <c r="L133" s="32">
        <v>300</v>
      </c>
      <c r="M133" s="12"/>
      <c r="N133" s="24">
        <v>125</v>
      </c>
      <c r="O133" s="24"/>
      <c r="P133" s="12">
        <f t="shared" si="69"/>
        <v>651.85249999999996</v>
      </c>
      <c r="Q133" s="9">
        <f>P133/13</f>
        <v>50.142499999999998</v>
      </c>
      <c r="R133" s="12"/>
      <c r="S133" s="37"/>
      <c r="T133" s="37"/>
      <c r="U133" s="12">
        <f t="shared" si="73"/>
        <v>630.82499999999993</v>
      </c>
      <c r="V133" s="12">
        <f t="shared" si="70"/>
        <v>48.524999999999991</v>
      </c>
      <c r="W133" s="37"/>
      <c r="X133" s="37"/>
      <c r="Y133" s="12">
        <f t="shared" si="77"/>
        <v>1282.6774999999998</v>
      </c>
      <c r="Z133" s="12">
        <f t="shared" si="74"/>
        <v>84.11</v>
      </c>
      <c r="AA133" s="12">
        <f t="shared" si="72"/>
        <v>6.47</v>
      </c>
      <c r="AB133" s="38"/>
      <c r="AC133" s="38"/>
      <c r="AD133" s="38"/>
      <c r="AE133" s="38"/>
      <c r="AF133" s="37"/>
      <c r="AG133" s="38"/>
      <c r="AH133" s="37"/>
      <c r="AI133" s="12"/>
      <c r="AJ133" s="38"/>
      <c r="AK133" s="38"/>
      <c r="AL133" s="38"/>
      <c r="AM133" s="12"/>
      <c r="AN133" s="12"/>
      <c r="AO133" s="12"/>
      <c r="AP133" s="38"/>
      <c r="AQ133" s="37"/>
    </row>
    <row r="134" spans="1:43">
      <c r="A134" s="21">
        <f t="shared" si="75"/>
        <v>92</v>
      </c>
      <c r="B134" s="45" t="s">
        <v>276</v>
      </c>
      <c r="C134" s="56" t="s">
        <v>277</v>
      </c>
      <c r="D134" s="83" t="s">
        <v>260</v>
      </c>
      <c r="E134" s="84" t="s">
        <v>79</v>
      </c>
      <c r="F134" s="85" t="s">
        <v>209</v>
      </c>
      <c r="G134" s="26">
        <v>467</v>
      </c>
      <c r="H134" s="32">
        <f>G134*12</f>
        <v>5604</v>
      </c>
      <c r="I134" s="32">
        <v>60</v>
      </c>
      <c r="J134" s="36"/>
      <c r="K134" s="32">
        <f>G134</f>
        <v>467</v>
      </c>
      <c r="L134" s="32">
        <v>300</v>
      </c>
      <c r="M134" s="37"/>
      <c r="N134" s="24">
        <v>125</v>
      </c>
      <c r="O134" s="24"/>
      <c r="P134" s="12">
        <f>G134*0.0775*13</f>
        <v>470.50250000000005</v>
      </c>
      <c r="Q134" s="12"/>
      <c r="R134" s="12">
        <f>P134/13</f>
        <v>36.192500000000003</v>
      </c>
      <c r="S134" s="37"/>
      <c r="T134" s="37"/>
      <c r="U134" s="12">
        <f t="shared" si="73"/>
        <v>455.32499999999999</v>
      </c>
      <c r="V134" s="12">
        <f t="shared" si="70"/>
        <v>35.024999999999999</v>
      </c>
      <c r="W134" s="37"/>
      <c r="X134" s="37"/>
      <c r="Y134" s="12">
        <f t="shared" si="77"/>
        <v>925.8275000000001</v>
      </c>
      <c r="Z134" s="12">
        <f t="shared" si="74"/>
        <v>60.71</v>
      </c>
      <c r="AA134" s="12">
        <f t="shared" si="72"/>
        <v>4.67</v>
      </c>
      <c r="AB134" s="38"/>
      <c r="AC134" s="38"/>
      <c r="AD134" s="38"/>
      <c r="AE134" s="38"/>
      <c r="AF134" s="37"/>
      <c r="AG134" s="38"/>
      <c r="AH134" s="37"/>
      <c r="AI134" s="12"/>
      <c r="AJ134" s="38"/>
      <c r="AK134" s="38"/>
      <c r="AL134" s="38"/>
      <c r="AM134" s="12"/>
      <c r="AN134" s="12"/>
      <c r="AO134" s="12"/>
      <c r="AP134" s="38"/>
      <c r="AQ134" s="37"/>
    </row>
    <row r="135" spans="1:43">
      <c r="A135" s="21">
        <f t="shared" si="75"/>
        <v>93</v>
      </c>
      <c r="B135" s="45" t="s">
        <v>278</v>
      </c>
      <c r="C135" s="56" t="s">
        <v>277</v>
      </c>
      <c r="D135" s="83" t="s">
        <v>260</v>
      </c>
      <c r="E135" s="84" t="s">
        <v>79</v>
      </c>
      <c r="F135" s="85" t="s">
        <v>209</v>
      </c>
      <c r="G135" s="26">
        <v>467</v>
      </c>
      <c r="H135" s="32">
        <f>G135*12</f>
        <v>5604</v>
      </c>
      <c r="I135" s="32">
        <v>60</v>
      </c>
      <c r="J135" s="36"/>
      <c r="K135" s="32">
        <f>G135</f>
        <v>467</v>
      </c>
      <c r="L135" s="32">
        <v>300</v>
      </c>
      <c r="M135" s="37"/>
      <c r="N135" s="24">
        <v>125</v>
      </c>
      <c r="O135" s="24"/>
      <c r="P135" s="12">
        <f>G135*0.0775*13</f>
        <v>470.50250000000005</v>
      </c>
      <c r="Q135" s="9">
        <f>P135/13</f>
        <v>36.192500000000003</v>
      </c>
      <c r="R135" s="12"/>
      <c r="S135" s="12"/>
      <c r="T135" s="12"/>
      <c r="U135" s="12">
        <f>G135*0.075*13</f>
        <v>455.32499999999999</v>
      </c>
      <c r="V135" s="12">
        <f>U135/13</f>
        <v>35.024999999999999</v>
      </c>
      <c r="W135" s="12"/>
      <c r="X135" s="12"/>
      <c r="Y135" s="12">
        <f>P135+S135+U135+W135</f>
        <v>925.8275000000001</v>
      </c>
      <c r="Z135" s="12">
        <f>G135*0.01*13</f>
        <v>60.71</v>
      </c>
      <c r="AA135" s="12">
        <f>Z135/13</f>
        <v>4.67</v>
      </c>
      <c r="AB135" s="12">
        <f>G135/30/7*1.5*45-0.01</f>
        <v>150.09714285714287</v>
      </c>
      <c r="AC135" s="12">
        <v>157.63</v>
      </c>
      <c r="AD135" s="12">
        <f>AB135-AC135</f>
        <v>-7.5328571428571252</v>
      </c>
      <c r="AE135" s="12">
        <f>AB135*0.0775</f>
        <v>11.632528571428573</v>
      </c>
      <c r="AF135" s="12"/>
      <c r="AG135" s="12">
        <f>AB135*0.075</f>
        <v>11.257285714285715</v>
      </c>
      <c r="AH135" s="12"/>
      <c r="AI135" s="12">
        <f>AE135+AF135+AG135+AH135</f>
        <v>22.889814285714287</v>
      </c>
      <c r="AJ135" s="12">
        <f>AB135*0.01</f>
        <v>1.5009714285714288</v>
      </c>
      <c r="AK135" s="38"/>
      <c r="AL135" s="38"/>
      <c r="AM135" s="12"/>
      <c r="AN135" s="12"/>
      <c r="AO135" s="12"/>
      <c r="AP135" s="38"/>
      <c r="AQ135" s="37"/>
    </row>
    <row r="136" spans="1:43">
      <c r="A136" s="21">
        <f t="shared" si="75"/>
        <v>94</v>
      </c>
      <c r="B136" s="45" t="s">
        <v>279</v>
      </c>
      <c r="C136" s="56" t="s">
        <v>280</v>
      </c>
      <c r="D136" s="83" t="s">
        <v>260</v>
      </c>
      <c r="E136" s="84" t="s">
        <v>79</v>
      </c>
      <c r="F136" s="85" t="s">
        <v>209</v>
      </c>
      <c r="G136" s="26">
        <v>417</v>
      </c>
      <c r="H136" s="32">
        <f>G136*12</f>
        <v>5004</v>
      </c>
      <c r="I136" s="32">
        <v>60</v>
      </c>
      <c r="J136" s="36"/>
      <c r="K136" s="32">
        <f>G136</f>
        <v>417</v>
      </c>
      <c r="L136" s="32">
        <v>300</v>
      </c>
      <c r="M136" s="37"/>
      <c r="N136" s="24">
        <v>125</v>
      </c>
      <c r="O136" s="24"/>
      <c r="P136" s="12">
        <f>G136*0.0775*13</f>
        <v>420.12750000000005</v>
      </c>
      <c r="Q136" s="12"/>
      <c r="R136" s="12">
        <f>P136/13</f>
        <v>32.317500000000003</v>
      </c>
      <c r="S136" s="37"/>
      <c r="T136" s="37"/>
      <c r="U136" s="12">
        <f t="shared" ref="U136" si="78">G136*0.075*13</f>
        <v>406.57499999999999</v>
      </c>
      <c r="V136" s="12">
        <f t="shared" ref="V136" si="79">U136/13</f>
        <v>31.274999999999999</v>
      </c>
      <c r="W136" s="37"/>
      <c r="X136" s="37"/>
      <c r="Y136" s="12">
        <f t="shared" si="77"/>
        <v>826.7025000000001</v>
      </c>
      <c r="Z136" s="12">
        <f t="shared" ref="Z136" si="80">G136*0.01*13</f>
        <v>54.21</v>
      </c>
      <c r="AA136" s="12">
        <f t="shared" ref="AA136" si="81">Z136/13</f>
        <v>4.17</v>
      </c>
      <c r="AB136" s="38"/>
      <c r="AC136" s="38"/>
      <c r="AD136" s="38"/>
      <c r="AE136" s="38"/>
      <c r="AF136" s="37"/>
      <c r="AG136" s="38"/>
      <c r="AH136" s="37"/>
      <c r="AI136" s="12"/>
      <c r="AJ136" s="38"/>
      <c r="AK136" s="38"/>
      <c r="AL136" s="38"/>
      <c r="AM136" s="12"/>
      <c r="AN136" s="12"/>
      <c r="AO136" s="12"/>
      <c r="AP136" s="38"/>
      <c r="AQ136" s="37"/>
    </row>
    <row r="137" spans="1:43">
      <c r="A137" s="21">
        <f t="shared" si="75"/>
        <v>95</v>
      </c>
      <c r="B137" s="45" t="s">
        <v>281</v>
      </c>
      <c r="C137" s="56" t="s">
        <v>282</v>
      </c>
      <c r="D137" s="83" t="s">
        <v>260</v>
      </c>
      <c r="E137" s="84" t="s">
        <v>79</v>
      </c>
      <c r="F137" s="85" t="s">
        <v>209</v>
      </c>
      <c r="G137" s="26">
        <v>627</v>
      </c>
      <c r="H137" s="32">
        <f>G137*12</f>
        <v>7524</v>
      </c>
      <c r="I137" s="32">
        <v>60</v>
      </c>
      <c r="J137" s="32"/>
      <c r="K137" s="32">
        <f>G137</f>
        <v>627</v>
      </c>
      <c r="L137" s="32">
        <v>300</v>
      </c>
      <c r="M137" s="12"/>
      <c r="N137" s="24">
        <v>125</v>
      </c>
      <c r="O137" s="24"/>
      <c r="P137" s="12">
        <f>G137*0.0775*13</f>
        <v>631.70249999999999</v>
      </c>
      <c r="Q137" s="9">
        <f>P137/13</f>
        <v>48.592500000000001</v>
      </c>
      <c r="R137" s="12"/>
      <c r="S137" s="12"/>
      <c r="T137" s="12"/>
      <c r="U137" s="12">
        <f t="shared" si="73"/>
        <v>611.32499999999993</v>
      </c>
      <c r="V137" s="12">
        <f t="shared" si="70"/>
        <v>47.024999999999991</v>
      </c>
      <c r="W137" s="12"/>
      <c r="X137" s="12"/>
      <c r="Y137" s="12">
        <f t="shared" si="77"/>
        <v>1243.0274999999999</v>
      </c>
      <c r="Z137" s="12">
        <f t="shared" si="74"/>
        <v>81.510000000000005</v>
      </c>
      <c r="AA137" s="12">
        <f t="shared" si="72"/>
        <v>6.2700000000000005</v>
      </c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</row>
    <row r="138" spans="1:43">
      <c r="A138" s="21"/>
      <c r="B138" s="15"/>
      <c r="C138" s="86" t="s">
        <v>283</v>
      </c>
      <c r="D138" s="83"/>
      <c r="E138" s="84"/>
      <c r="F138" s="85"/>
      <c r="G138" s="87">
        <f t="shared" ref="G138:N138" si="82">SUM(G125:G137)</f>
        <v>8947.43</v>
      </c>
      <c r="H138" s="30">
        <f t="shared" si="82"/>
        <v>107369.15999999999</v>
      </c>
      <c r="I138" s="30">
        <f t="shared" si="82"/>
        <v>780</v>
      </c>
      <c r="J138" s="30">
        <f t="shared" si="82"/>
        <v>0</v>
      </c>
      <c r="K138" s="30">
        <f t="shared" si="82"/>
        <v>8947.43</v>
      </c>
      <c r="L138" s="30">
        <f t="shared" si="82"/>
        <v>3900</v>
      </c>
      <c r="M138" s="20">
        <f t="shared" si="82"/>
        <v>0</v>
      </c>
      <c r="N138" s="20">
        <f t="shared" si="82"/>
        <v>1625</v>
      </c>
      <c r="O138" s="31"/>
      <c r="P138" s="20">
        <f>SUM(P125:P137)</f>
        <v>9014.5357250000015</v>
      </c>
      <c r="Q138" s="20">
        <f>SUM(Q125:Q137)-0.01</f>
        <v>444.79582499999992</v>
      </c>
      <c r="R138" s="20">
        <f>SUM(R125:R137)</f>
        <v>248.62</v>
      </c>
      <c r="S138" s="20">
        <f>SUM(S125:S137)</f>
        <v>0</v>
      </c>
      <c r="T138" s="20">
        <f>SUM(T125:T137)</f>
        <v>0</v>
      </c>
      <c r="U138" s="20">
        <f>SUM(U125:U137)+0.02</f>
        <v>8528.7642500000002</v>
      </c>
      <c r="V138" s="20">
        <f>SUM(V125:V137)+0.03</f>
        <v>656.08724999999981</v>
      </c>
      <c r="W138" s="20">
        <f>SUM(W125:W137)</f>
        <v>0</v>
      </c>
      <c r="X138" s="20">
        <f>SUM(X125:X137)</f>
        <v>0</v>
      </c>
      <c r="Y138" s="20">
        <f>SUM(Y125:Y137)</f>
        <v>17543.299974999998</v>
      </c>
      <c r="Z138" s="20">
        <f>SUM(Z125:Z137)-0.01</f>
        <v>1137.1559</v>
      </c>
      <c r="AA138" s="20">
        <f>SUM(AA125:AA137)+0.01</f>
        <v>87.484300000000019</v>
      </c>
      <c r="AB138" s="20">
        <f>SUM(AB125:AB137)+0.01</f>
        <v>603.91928571428571</v>
      </c>
      <c r="AC138" s="20">
        <f t="shared" ref="AC138:AH138" si="83">SUM(AC125:AC137)</f>
        <v>157.63</v>
      </c>
      <c r="AD138" s="20">
        <f t="shared" si="83"/>
        <v>-7.5328571428571252</v>
      </c>
      <c r="AE138" s="20">
        <f t="shared" si="83"/>
        <v>46.802969642857143</v>
      </c>
      <c r="AF138" s="20">
        <f t="shared" si="83"/>
        <v>0</v>
      </c>
      <c r="AG138" s="20">
        <f t="shared" si="83"/>
        <v>45.293196428571427</v>
      </c>
      <c r="AH138" s="20">
        <f t="shared" si="83"/>
        <v>0</v>
      </c>
      <c r="AI138" s="20">
        <f>SUM(AI125:AI137)-0.01</f>
        <v>92.096166071428556</v>
      </c>
      <c r="AJ138" s="20">
        <f t="shared" ref="AJ138:AQ138" si="84">SUM(AJ125:AJ137)</f>
        <v>6.0390928571428573</v>
      </c>
      <c r="AK138" s="20">
        <f t="shared" si="84"/>
        <v>0</v>
      </c>
      <c r="AL138" s="20">
        <f t="shared" si="84"/>
        <v>0</v>
      </c>
      <c r="AM138" s="20">
        <f t="shared" si="84"/>
        <v>0</v>
      </c>
      <c r="AN138" s="20">
        <f t="shared" si="84"/>
        <v>0</v>
      </c>
      <c r="AO138" s="20">
        <f t="shared" si="84"/>
        <v>0</v>
      </c>
      <c r="AP138" s="20">
        <f t="shared" si="84"/>
        <v>0</v>
      </c>
      <c r="AQ138" s="20">
        <f t="shared" si="84"/>
        <v>0</v>
      </c>
    </row>
    <row r="139" spans="1:43">
      <c r="A139" s="21">
        <f>A137+1</f>
        <v>96</v>
      </c>
      <c r="B139" s="45" t="s">
        <v>284</v>
      </c>
      <c r="C139" s="56" t="s">
        <v>285</v>
      </c>
      <c r="D139" s="83" t="s">
        <v>286</v>
      </c>
      <c r="E139" s="84" t="s">
        <v>79</v>
      </c>
      <c r="F139" s="85" t="s">
        <v>209</v>
      </c>
      <c r="G139" s="26">
        <v>1000</v>
      </c>
      <c r="H139" s="32">
        <f>G139*12</f>
        <v>12000</v>
      </c>
      <c r="I139" s="32">
        <v>60</v>
      </c>
      <c r="J139" s="36"/>
      <c r="K139" s="32">
        <f>G139</f>
        <v>1000</v>
      </c>
      <c r="L139" s="32">
        <v>300</v>
      </c>
      <c r="M139" s="12"/>
      <c r="N139" s="24">
        <v>125</v>
      </c>
      <c r="O139" s="24"/>
      <c r="P139" s="12">
        <f>G139*0.0775*13</f>
        <v>1007.5</v>
      </c>
      <c r="Q139" s="40"/>
      <c r="R139" s="12">
        <f>P139/13</f>
        <v>77.5</v>
      </c>
      <c r="S139" s="37"/>
      <c r="T139" s="37"/>
      <c r="U139" s="12">
        <v>975</v>
      </c>
      <c r="V139" s="12">
        <f>U139/13</f>
        <v>75</v>
      </c>
      <c r="W139" s="37"/>
      <c r="X139" s="37"/>
      <c r="Y139" s="12">
        <f>P139+S139+U139+W139</f>
        <v>1982.5</v>
      </c>
      <c r="Z139" s="12">
        <v>130</v>
      </c>
      <c r="AA139" s="12">
        <f>Z139/13</f>
        <v>10</v>
      </c>
      <c r="AB139" s="38"/>
      <c r="AC139" s="38"/>
      <c r="AD139" s="38"/>
      <c r="AE139" s="38"/>
      <c r="AF139" s="37"/>
      <c r="AG139" s="38"/>
      <c r="AH139" s="37"/>
      <c r="AI139" s="12"/>
      <c r="AJ139" s="38"/>
      <c r="AK139" s="38"/>
      <c r="AL139" s="38"/>
      <c r="AM139" s="12"/>
      <c r="AN139" s="12"/>
      <c r="AO139" s="12"/>
      <c r="AP139" s="38"/>
      <c r="AQ139" s="37"/>
    </row>
    <row r="140" spans="1:43">
      <c r="A140" s="55">
        <f>A139+1</f>
        <v>97</v>
      </c>
      <c r="B140" s="45" t="s">
        <v>287</v>
      </c>
      <c r="C140" s="51" t="s">
        <v>288</v>
      </c>
      <c r="D140" s="83" t="s">
        <v>286</v>
      </c>
      <c r="E140" s="84" t="s">
        <v>79</v>
      </c>
      <c r="F140" s="85" t="s">
        <v>209</v>
      </c>
      <c r="G140" s="26">
        <f>707+30+50</f>
        <v>787</v>
      </c>
      <c r="H140" s="32">
        <f>G140*12</f>
        <v>9444</v>
      </c>
      <c r="I140" s="32">
        <v>60</v>
      </c>
      <c r="J140" s="32"/>
      <c r="K140" s="32">
        <f>G140</f>
        <v>787</v>
      </c>
      <c r="L140" s="32">
        <v>300</v>
      </c>
      <c r="M140" s="12"/>
      <c r="N140" s="24">
        <v>125</v>
      </c>
      <c r="O140" s="24"/>
      <c r="P140" s="12">
        <f>G140*0.0775*13</f>
        <v>792.90250000000003</v>
      </c>
      <c r="Q140" s="9">
        <f>P140/13</f>
        <v>60.9925</v>
      </c>
      <c r="R140" s="12"/>
      <c r="S140" s="12"/>
      <c r="T140" s="12"/>
      <c r="U140" s="12">
        <f>G140*0.075*13</f>
        <v>767.32499999999993</v>
      </c>
      <c r="V140" s="12">
        <f>U140/13</f>
        <v>59.024999999999991</v>
      </c>
      <c r="W140" s="12"/>
      <c r="X140" s="12"/>
      <c r="Y140" s="12">
        <f>P140+S140+U140+W140</f>
        <v>1560.2275</v>
      </c>
      <c r="Z140" s="12">
        <f>G140*0.01*13</f>
        <v>102.31</v>
      </c>
      <c r="AA140" s="12">
        <f>Z140/13</f>
        <v>7.87</v>
      </c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</row>
    <row r="141" spans="1:43">
      <c r="A141" s="55">
        <f>A140+1</f>
        <v>98</v>
      </c>
      <c r="B141" s="45" t="s">
        <v>289</v>
      </c>
      <c r="C141" s="56" t="s">
        <v>290</v>
      </c>
      <c r="D141" s="83" t="s">
        <v>286</v>
      </c>
      <c r="E141" s="84" t="s">
        <v>79</v>
      </c>
      <c r="F141" s="85" t="s">
        <v>209</v>
      </c>
      <c r="G141" s="26">
        <f>467+30+50</f>
        <v>547</v>
      </c>
      <c r="H141" s="32">
        <f>G141*12</f>
        <v>6564</v>
      </c>
      <c r="I141" s="32">
        <v>60</v>
      </c>
      <c r="J141" s="36"/>
      <c r="K141" s="32">
        <f>G141</f>
        <v>547</v>
      </c>
      <c r="L141" s="32">
        <v>300</v>
      </c>
      <c r="M141" s="37"/>
      <c r="N141" s="24">
        <v>125</v>
      </c>
      <c r="O141" s="24"/>
      <c r="P141" s="12">
        <f>G141*0.0775*13</f>
        <v>551.10249999999996</v>
      </c>
      <c r="Q141" s="9">
        <f>P141/13</f>
        <v>42.392499999999998</v>
      </c>
      <c r="R141" s="40"/>
      <c r="S141" s="37"/>
      <c r="T141" s="37"/>
      <c r="U141" s="12">
        <f>G141*0.075*13</f>
        <v>533.32499999999993</v>
      </c>
      <c r="V141" s="12">
        <f>U141/13</f>
        <v>41.024999999999991</v>
      </c>
      <c r="W141" s="37"/>
      <c r="X141" s="37"/>
      <c r="Y141" s="12">
        <f>P141+S141+U141+W141</f>
        <v>1084.4274999999998</v>
      </c>
      <c r="Z141" s="12">
        <f>G141*0.01*13</f>
        <v>71.11</v>
      </c>
      <c r="AA141" s="12">
        <f>Z141/13</f>
        <v>5.47</v>
      </c>
      <c r="AB141" s="38"/>
      <c r="AC141" s="38"/>
      <c r="AD141" s="38"/>
      <c r="AE141" s="38"/>
      <c r="AF141" s="37"/>
      <c r="AG141" s="37"/>
      <c r="AH141" s="37"/>
      <c r="AI141" s="12"/>
      <c r="AJ141" s="38"/>
      <c r="AK141" s="38"/>
      <c r="AL141" s="38"/>
      <c r="AM141" s="12"/>
      <c r="AN141" s="12"/>
      <c r="AO141" s="12"/>
      <c r="AP141" s="38"/>
      <c r="AQ141" s="37"/>
    </row>
    <row r="142" spans="1:43">
      <c r="A142" s="55">
        <f>A141+1</f>
        <v>99</v>
      </c>
      <c r="B142" s="45" t="s">
        <v>291</v>
      </c>
      <c r="C142" s="56" t="s">
        <v>292</v>
      </c>
      <c r="D142" s="83" t="s">
        <v>286</v>
      </c>
      <c r="E142" s="84" t="s">
        <v>79</v>
      </c>
      <c r="F142" s="85" t="s">
        <v>209</v>
      </c>
      <c r="G142" s="26">
        <f>467+30+50</f>
        <v>547</v>
      </c>
      <c r="H142" s="32">
        <f>G142*12</f>
        <v>6564</v>
      </c>
      <c r="I142" s="32">
        <v>60</v>
      </c>
      <c r="J142" s="36"/>
      <c r="K142" s="32">
        <f>G142</f>
        <v>547</v>
      </c>
      <c r="L142" s="32">
        <v>300</v>
      </c>
      <c r="M142" s="37"/>
      <c r="N142" s="24">
        <v>125</v>
      </c>
      <c r="O142" s="24"/>
      <c r="P142" s="12">
        <f>G142*0.0775*13</f>
        <v>551.10249999999996</v>
      </c>
      <c r="Q142" s="9"/>
      <c r="R142" s="12">
        <f>P142/13</f>
        <v>42.392499999999998</v>
      </c>
      <c r="S142" s="37"/>
      <c r="T142" s="37"/>
      <c r="U142" s="12">
        <f>G142*0.075*13</f>
        <v>533.32499999999993</v>
      </c>
      <c r="V142" s="12">
        <f>U142/13</f>
        <v>41.024999999999991</v>
      </c>
      <c r="W142" s="37"/>
      <c r="X142" s="37"/>
      <c r="Y142" s="12">
        <f>P142+S142+U142+W142</f>
        <v>1084.4274999999998</v>
      </c>
      <c r="Z142" s="12">
        <f>G142*0.01*13</f>
        <v>71.11</v>
      </c>
      <c r="AA142" s="12">
        <f>Z142/13</f>
        <v>5.47</v>
      </c>
      <c r="AB142" s="38"/>
      <c r="AC142" s="38"/>
      <c r="AD142" s="38"/>
      <c r="AE142" s="38"/>
      <c r="AF142" s="37"/>
      <c r="AG142" s="38"/>
      <c r="AH142" s="37"/>
      <c r="AI142" s="12"/>
      <c r="AJ142" s="38"/>
      <c r="AK142" s="38"/>
      <c r="AL142" s="38"/>
      <c r="AM142" s="12"/>
      <c r="AN142" s="12"/>
      <c r="AO142" s="12"/>
      <c r="AP142" s="38"/>
      <c r="AQ142" s="37"/>
    </row>
    <row r="143" spans="1:43">
      <c r="A143" s="21"/>
      <c r="B143" s="15"/>
      <c r="C143" s="86" t="s">
        <v>293</v>
      </c>
      <c r="D143" s="56"/>
      <c r="E143" s="84"/>
      <c r="F143" s="105"/>
      <c r="G143" s="87">
        <f>SUM(G139:G142)</f>
        <v>2881</v>
      </c>
      <c r="H143" s="30">
        <f t="shared" ref="H143:AA143" si="85">SUM(H139:H142)</f>
        <v>34572</v>
      </c>
      <c r="I143" s="30">
        <f t="shared" si="85"/>
        <v>240</v>
      </c>
      <c r="J143" s="30">
        <f t="shared" si="85"/>
        <v>0</v>
      </c>
      <c r="K143" s="30">
        <f t="shared" si="85"/>
        <v>2881</v>
      </c>
      <c r="L143" s="30">
        <f t="shared" si="85"/>
        <v>1200</v>
      </c>
      <c r="M143" s="20">
        <f t="shared" si="85"/>
        <v>0</v>
      </c>
      <c r="N143" s="20">
        <f t="shared" si="85"/>
        <v>500</v>
      </c>
      <c r="O143" s="20">
        <f t="shared" si="85"/>
        <v>0</v>
      </c>
      <c r="P143" s="20">
        <f>SUM(P139:P142)-0.01</f>
        <v>2902.5974999999999</v>
      </c>
      <c r="Q143" s="20">
        <f>SUM(Q139:Q142)-0.01</f>
        <v>103.37499999999999</v>
      </c>
      <c r="R143" s="20">
        <f t="shared" si="85"/>
        <v>119.8925</v>
      </c>
      <c r="S143" s="20">
        <f>SUM(S139:S142)</f>
        <v>0</v>
      </c>
      <c r="T143" s="20">
        <f>SUM(T139:T142)</f>
        <v>0</v>
      </c>
      <c r="U143" s="20">
        <f>SUM(U139:U142)+0.01</f>
        <v>2808.9849999999997</v>
      </c>
      <c r="V143" s="20">
        <f>SUM(V139:V142)+0.01</f>
        <v>216.08499999999992</v>
      </c>
      <c r="W143" s="20">
        <f t="shared" si="85"/>
        <v>0</v>
      </c>
      <c r="X143" s="20">
        <f t="shared" si="85"/>
        <v>0</v>
      </c>
      <c r="Y143" s="20">
        <f>SUM(Y139:Y142)+0.01</f>
        <v>5711.5924999999997</v>
      </c>
      <c r="Z143" s="20">
        <f t="shared" si="85"/>
        <v>374.53000000000003</v>
      </c>
      <c r="AA143" s="20">
        <f t="shared" si="85"/>
        <v>28.81</v>
      </c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</row>
    <row r="144" spans="1:43">
      <c r="A144" s="55">
        <f>A142+1</f>
        <v>100</v>
      </c>
      <c r="B144" s="45" t="s">
        <v>294</v>
      </c>
      <c r="C144" s="56" t="s">
        <v>295</v>
      </c>
      <c r="D144" s="83" t="s">
        <v>296</v>
      </c>
      <c r="E144" s="84" t="s">
        <v>79</v>
      </c>
      <c r="F144" s="85" t="s">
        <v>209</v>
      </c>
      <c r="G144" s="26">
        <f>1052+30+50</f>
        <v>1132</v>
      </c>
      <c r="H144" s="32">
        <f>G144*12</f>
        <v>13584</v>
      </c>
      <c r="I144" s="32">
        <v>60</v>
      </c>
      <c r="J144" s="36"/>
      <c r="K144" s="32">
        <f>G144</f>
        <v>1132</v>
      </c>
      <c r="L144" s="32">
        <v>300</v>
      </c>
      <c r="M144" s="12">
        <v>1000</v>
      </c>
      <c r="N144" s="24">
        <v>125</v>
      </c>
      <c r="O144" s="24"/>
      <c r="P144" s="12">
        <f>G144*0.0775*13</f>
        <v>1140.49</v>
      </c>
      <c r="Q144" s="9">
        <f>P144/13</f>
        <v>87.73</v>
      </c>
      <c r="R144" s="12"/>
      <c r="S144" s="37"/>
      <c r="T144" s="37"/>
      <c r="U144" s="12">
        <f>75*13</f>
        <v>975</v>
      </c>
      <c r="V144" s="12">
        <f>U144/13</f>
        <v>75</v>
      </c>
      <c r="W144" s="37"/>
      <c r="X144" s="37"/>
      <c r="Y144" s="12">
        <f>P144+S144+U144+W144</f>
        <v>2115.4899999999998</v>
      </c>
      <c r="Z144" s="12">
        <f>10*13</f>
        <v>130</v>
      </c>
      <c r="AA144" s="12">
        <f>Z144/13</f>
        <v>10</v>
      </c>
      <c r="AB144" s="12"/>
      <c r="AC144" s="12"/>
      <c r="AD144" s="12"/>
      <c r="AE144" s="38"/>
      <c r="AF144" s="37"/>
      <c r="AG144" s="38"/>
      <c r="AH144" s="37"/>
      <c r="AI144" s="12"/>
      <c r="AJ144" s="12"/>
      <c r="AK144" s="12"/>
      <c r="AL144" s="12"/>
      <c r="AM144" s="12"/>
      <c r="AN144" s="12"/>
      <c r="AO144" s="12"/>
      <c r="AP144" s="12"/>
      <c r="AQ144" s="37"/>
    </row>
    <row r="145" spans="1:43">
      <c r="A145" s="21">
        <f>A144+1</f>
        <v>101</v>
      </c>
      <c r="B145" s="45" t="s">
        <v>297</v>
      </c>
      <c r="C145" s="56" t="s">
        <v>298</v>
      </c>
      <c r="D145" s="83" t="s">
        <v>296</v>
      </c>
      <c r="E145" s="84" t="s">
        <v>79</v>
      </c>
      <c r="F145" s="85" t="s">
        <v>209</v>
      </c>
      <c r="G145" s="26">
        <f>597+30+50</f>
        <v>677</v>
      </c>
      <c r="H145" s="32">
        <f>G145*12</f>
        <v>8124</v>
      </c>
      <c r="I145" s="32">
        <v>60</v>
      </c>
      <c r="J145" s="36"/>
      <c r="K145" s="32">
        <f>G145</f>
        <v>677</v>
      </c>
      <c r="L145" s="32">
        <v>300</v>
      </c>
      <c r="M145" s="37"/>
      <c r="N145" s="24">
        <v>125</v>
      </c>
      <c r="O145" s="24"/>
      <c r="P145" s="12">
        <f>G145*0.0775*13</f>
        <v>682.07749999999999</v>
      </c>
      <c r="Q145" s="9"/>
      <c r="R145" s="12">
        <f>P145/13</f>
        <v>52.467500000000001</v>
      </c>
      <c r="S145" s="37"/>
      <c r="T145" s="37"/>
      <c r="U145" s="12">
        <f>G145*0.075*13</f>
        <v>660.07499999999993</v>
      </c>
      <c r="V145" s="12">
        <f>U145/13</f>
        <v>50.774999999999991</v>
      </c>
      <c r="W145" s="37"/>
      <c r="X145" s="37"/>
      <c r="Y145" s="12">
        <f>P145+S145+U145+W145+0.01</f>
        <v>1342.1624999999999</v>
      </c>
      <c r="Z145" s="12">
        <f>G145*0.01*13</f>
        <v>88.01</v>
      </c>
      <c r="AA145" s="12">
        <f>Z145/13</f>
        <v>6.7700000000000005</v>
      </c>
      <c r="AB145" s="38"/>
      <c r="AC145" s="38"/>
      <c r="AD145" s="38"/>
      <c r="AE145" s="38"/>
      <c r="AF145" s="37"/>
      <c r="AG145" s="37"/>
      <c r="AH145" s="37"/>
      <c r="AI145" s="12"/>
      <c r="AJ145" s="38"/>
      <c r="AK145" s="38"/>
      <c r="AL145" s="38"/>
      <c r="AM145" s="12"/>
      <c r="AN145" s="12"/>
      <c r="AO145" s="12"/>
      <c r="AP145" s="38"/>
      <c r="AQ145" s="37"/>
    </row>
    <row r="146" spans="1:43">
      <c r="A146" s="21">
        <f>A145+1</f>
        <v>102</v>
      </c>
      <c r="B146" s="42" t="s">
        <v>299</v>
      </c>
      <c r="C146" s="56" t="s">
        <v>300</v>
      </c>
      <c r="D146" s="83" t="s">
        <v>296</v>
      </c>
      <c r="E146" s="84" t="s">
        <v>79</v>
      </c>
      <c r="F146" s="85" t="s">
        <v>209</v>
      </c>
      <c r="G146" s="26">
        <f>467+30+50</f>
        <v>547</v>
      </c>
      <c r="H146" s="32">
        <f>G146*12</f>
        <v>6564</v>
      </c>
      <c r="I146" s="32">
        <v>60</v>
      </c>
      <c r="J146" s="36"/>
      <c r="K146" s="32">
        <f>G146</f>
        <v>547</v>
      </c>
      <c r="L146" s="32">
        <v>300</v>
      </c>
      <c r="M146" s="37"/>
      <c r="N146" s="24">
        <v>125</v>
      </c>
      <c r="O146" s="24"/>
      <c r="P146" s="12">
        <f>G146*0.0775*13</f>
        <v>551.10249999999996</v>
      </c>
      <c r="Q146" s="40"/>
      <c r="R146" s="12">
        <f>P146/13</f>
        <v>42.392499999999998</v>
      </c>
      <c r="S146" s="12"/>
      <c r="T146" s="12"/>
      <c r="U146" s="12">
        <f>G146*0.075*13</f>
        <v>533.32499999999993</v>
      </c>
      <c r="V146" s="12">
        <f>U146/13</f>
        <v>41.024999999999991</v>
      </c>
      <c r="W146" s="12"/>
      <c r="X146" s="12"/>
      <c r="Y146" s="12">
        <f>P146+S146+U146+W146</f>
        <v>1084.4274999999998</v>
      </c>
      <c r="Z146" s="12">
        <f>G146*0.01*13</f>
        <v>71.11</v>
      </c>
      <c r="AA146" s="12">
        <f>Z146/13</f>
        <v>5.47</v>
      </c>
      <c r="AB146" s="38"/>
      <c r="AC146" s="38"/>
      <c r="AD146" s="38"/>
      <c r="AE146" s="38"/>
      <c r="AF146" s="37"/>
      <c r="AG146" s="38"/>
      <c r="AH146" s="37"/>
      <c r="AI146" s="12"/>
      <c r="AJ146" s="38"/>
      <c r="AK146" s="38"/>
      <c r="AL146" s="38"/>
      <c r="AM146" s="12"/>
      <c r="AN146" s="12"/>
      <c r="AO146" s="12"/>
      <c r="AP146" s="38"/>
      <c r="AQ146" s="37"/>
    </row>
    <row r="147" spans="1:43">
      <c r="A147" s="21"/>
      <c r="B147" s="15"/>
      <c r="C147" s="86" t="s">
        <v>301</v>
      </c>
      <c r="D147" s="100"/>
      <c r="E147" s="84"/>
      <c r="F147" s="85"/>
      <c r="G147" s="87">
        <f t="shared" ref="G147:T147" si="86">SUM(G144:G146)</f>
        <v>2356</v>
      </c>
      <c r="H147" s="30">
        <f t="shared" si="86"/>
        <v>28272</v>
      </c>
      <c r="I147" s="30">
        <f t="shared" si="86"/>
        <v>180</v>
      </c>
      <c r="J147" s="30">
        <f t="shared" si="86"/>
        <v>0</v>
      </c>
      <c r="K147" s="30">
        <f t="shared" si="86"/>
        <v>2356</v>
      </c>
      <c r="L147" s="30">
        <f t="shared" si="86"/>
        <v>900</v>
      </c>
      <c r="M147" s="20">
        <f t="shared" si="86"/>
        <v>1000</v>
      </c>
      <c r="N147" s="20">
        <f t="shared" si="86"/>
        <v>375</v>
      </c>
      <c r="O147" s="20">
        <f t="shared" si="86"/>
        <v>0</v>
      </c>
      <c r="P147" s="20">
        <f t="shared" si="86"/>
        <v>2373.67</v>
      </c>
      <c r="Q147" s="20">
        <f t="shared" si="86"/>
        <v>87.73</v>
      </c>
      <c r="R147" s="20">
        <f t="shared" si="86"/>
        <v>94.86</v>
      </c>
      <c r="S147" s="20">
        <f t="shared" si="86"/>
        <v>0</v>
      </c>
      <c r="T147" s="20">
        <f t="shared" si="86"/>
        <v>0</v>
      </c>
      <c r="U147" s="20">
        <f>SUM(U144:U146)+0.01</f>
        <v>2168.41</v>
      </c>
      <c r="V147" s="20">
        <f>SUM(V144:V146)+0.01</f>
        <v>166.80999999999997</v>
      </c>
      <c r="W147" s="20">
        <f>SUM(W144:W146)</f>
        <v>0</v>
      </c>
      <c r="X147" s="20">
        <f>SUM(X144:X146)</f>
        <v>0</v>
      </c>
      <c r="Y147" s="20">
        <f>SUM(Y144:Y146)</f>
        <v>4542.08</v>
      </c>
      <c r="Z147" s="20">
        <f>SUM(Z144:Z146)</f>
        <v>289.12</v>
      </c>
      <c r="AA147" s="20">
        <f>SUM(AA144:AA146)</f>
        <v>22.24</v>
      </c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</row>
    <row r="148" spans="1:43">
      <c r="A148" s="21"/>
      <c r="B148" s="15"/>
      <c r="C148" s="101"/>
      <c r="D148" s="102" t="s">
        <v>302</v>
      </c>
      <c r="E148" s="103"/>
      <c r="F148" s="101"/>
      <c r="G148" s="87">
        <f t="shared" ref="G148:N148" si="87">SUM(G104+G124+G138+G143+G147)</f>
        <v>31241.15</v>
      </c>
      <c r="H148" s="30">
        <f t="shared" si="87"/>
        <v>374893.8</v>
      </c>
      <c r="I148" s="30">
        <f t="shared" si="87"/>
        <v>2700</v>
      </c>
      <c r="J148" s="30">
        <f t="shared" si="87"/>
        <v>0</v>
      </c>
      <c r="K148" s="30">
        <f t="shared" si="87"/>
        <v>31241.15</v>
      </c>
      <c r="L148" s="30">
        <f t="shared" si="87"/>
        <v>13500</v>
      </c>
      <c r="M148" s="20">
        <f t="shared" si="87"/>
        <v>1000</v>
      </c>
      <c r="N148" s="31">
        <f t="shared" si="87"/>
        <v>5625</v>
      </c>
      <c r="O148" s="31"/>
      <c r="P148" s="30">
        <f>SUM(P104+P124+P138+P143+P147)+0.01</f>
        <v>31475.458625000003</v>
      </c>
      <c r="Q148" s="30">
        <f>SUM(Q104+Q124+Q138+Q143+Q147)+0.01</f>
        <v>1291.49495</v>
      </c>
      <c r="R148" s="30">
        <f t="shared" ref="R148:Z148" si="88">SUM(R104+R124+R138+R143+R147)</f>
        <v>1129.6741749999999</v>
      </c>
      <c r="S148" s="20">
        <f t="shared" si="88"/>
        <v>0</v>
      </c>
      <c r="T148" s="20">
        <f t="shared" si="88"/>
        <v>0</v>
      </c>
      <c r="U148" s="20">
        <f t="shared" si="88"/>
        <v>29259.05125</v>
      </c>
      <c r="V148" s="20">
        <f t="shared" si="88"/>
        <v>2250.8062499999996</v>
      </c>
      <c r="W148" s="20">
        <f t="shared" si="88"/>
        <v>0</v>
      </c>
      <c r="X148" s="20">
        <f t="shared" si="88"/>
        <v>0</v>
      </c>
      <c r="Y148" s="20">
        <f t="shared" si="88"/>
        <v>60734.509874999989</v>
      </c>
      <c r="Z148" s="20">
        <f t="shared" si="88"/>
        <v>3908.2553999999996</v>
      </c>
      <c r="AA148" s="20">
        <f>SUM(AA104+AA124+AA138+AA143+AA147)-0.01</f>
        <v>300.63580000000002</v>
      </c>
      <c r="AB148" s="20">
        <f>SUM(AB104+AB124+AB138+AB143+AB147)</f>
        <v>603.91928571428571</v>
      </c>
      <c r="AC148" s="20" t="e">
        <f>SUM(AC104+AC124+AC138+#REF!+AC143+AC147)</f>
        <v>#REF!</v>
      </c>
      <c r="AD148" s="20" t="e">
        <f>SUM(AD104+AD124+AD138+#REF!+AD143+AD147)</f>
        <v>#REF!</v>
      </c>
      <c r="AE148" s="20">
        <f t="shared" ref="AE148:AQ148" si="89">SUM(AE104+AE124+AE138+AE143+AE147)</f>
        <v>46.802969642857143</v>
      </c>
      <c r="AF148" s="20">
        <f t="shared" si="89"/>
        <v>0</v>
      </c>
      <c r="AG148" s="20">
        <f t="shared" si="89"/>
        <v>45.293196428571427</v>
      </c>
      <c r="AH148" s="20">
        <f t="shared" si="89"/>
        <v>0</v>
      </c>
      <c r="AI148" s="20">
        <f t="shared" si="89"/>
        <v>92.096166071428556</v>
      </c>
      <c r="AJ148" s="20">
        <f t="shared" si="89"/>
        <v>6.0390928571428573</v>
      </c>
      <c r="AK148" s="20">
        <f t="shared" si="89"/>
        <v>0</v>
      </c>
      <c r="AL148" s="20">
        <f t="shared" si="89"/>
        <v>0</v>
      </c>
      <c r="AM148" s="20">
        <f t="shared" si="89"/>
        <v>0</v>
      </c>
      <c r="AN148" s="20">
        <f t="shared" si="89"/>
        <v>0</v>
      </c>
      <c r="AO148" s="20">
        <f t="shared" si="89"/>
        <v>0</v>
      </c>
      <c r="AP148" s="20">
        <f t="shared" si="89"/>
        <v>0</v>
      </c>
      <c r="AQ148" s="20">
        <f t="shared" si="89"/>
        <v>0</v>
      </c>
    </row>
    <row r="149" spans="1:43">
      <c r="A149" s="21">
        <f>A146+1</f>
        <v>103</v>
      </c>
      <c r="B149" s="27" t="s">
        <v>303</v>
      </c>
      <c r="C149" s="56" t="s">
        <v>304</v>
      </c>
      <c r="D149" s="83" t="s">
        <v>305</v>
      </c>
      <c r="E149" s="84" t="s">
        <v>79</v>
      </c>
      <c r="F149" s="85" t="s">
        <v>306</v>
      </c>
      <c r="G149" s="26">
        <f>795+30+50</f>
        <v>875</v>
      </c>
      <c r="H149" s="32">
        <f t="shared" ref="H149:H156" si="90">G149*12</f>
        <v>10500</v>
      </c>
      <c r="I149" s="32">
        <v>60</v>
      </c>
      <c r="J149" s="36"/>
      <c r="K149" s="32">
        <f t="shared" ref="K149:K154" si="91">G149</f>
        <v>875</v>
      </c>
      <c r="L149" s="32">
        <v>300</v>
      </c>
      <c r="M149" s="37"/>
      <c r="N149" s="24">
        <v>125</v>
      </c>
      <c r="O149" s="24"/>
      <c r="P149" s="12">
        <f>G149*0.0775*13</f>
        <v>881.5625</v>
      </c>
      <c r="Q149" s="9">
        <f>P149/13</f>
        <v>67.8125</v>
      </c>
      <c r="R149" s="12"/>
      <c r="S149" s="37"/>
      <c r="T149" s="37"/>
      <c r="U149" s="12">
        <f t="shared" ref="U149:U154" si="92">G149*0.075*13</f>
        <v>853.125</v>
      </c>
      <c r="V149" s="12">
        <f t="shared" ref="V149:V154" si="93">U149/13</f>
        <v>65.625</v>
      </c>
      <c r="W149" s="37"/>
      <c r="X149" s="37"/>
      <c r="Y149" s="12">
        <f t="shared" ref="Y149:Y154" si="94">P149+S149+U149+W149</f>
        <v>1734.6875</v>
      </c>
      <c r="Z149" s="12">
        <f t="shared" ref="Z149:Z154" si="95">G149*0.01*13</f>
        <v>113.75</v>
      </c>
      <c r="AA149" s="12">
        <f t="shared" ref="AA149:AA154" si="96">Z149/13</f>
        <v>8.75</v>
      </c>
      <c r="AB149" s="38"/>
      <c r="AC149" s="38"/>
      <c r="AD149" s="38"/>
      <c r="AE149" s="38"/>
      <c r="AF149" s="37"/>
      <c r="AG149" s="38"/>
      <c r="AH149" s="37"/>
      <c r="AI149" s="12"/>
      <c r="AJ149" s="38"/>
      <c r="AK149" s="38"/>
      <c r="AL149" s="38"/>
      <c r="AM149" s="12"/>
      <c r="AN149" s="12"/>
      <c r="AO149" s="12"/>
      <c r="AP149" s="38"/>
      <c r="AQ149" s="37"/>
    </row>
    <row r="150" spans="1:43">
      <c r="A150" s="21">
        <f t="shared" ref="A150:A156" si="97">A149+1</f>
        <v>104</v>
      </c>
      <c r="B150" s="27" t="s">
        <v>307</v>
      </c>
      <c r="C150" s="51" t="s">
        <v>308</v>
      </c>
      <c r="D150" s="83" t="s">
        <v>305</v>
      </c>
      <c r="E150" s="84" t="s">
        <v>79</v>
      </c>
      <c r="F150" s="85" t="s">
        <v>306</v>
      </c>
      <c r="G150" s="26">
        <f>650+30+50</f>
        <v>730</v>
      </c>
      <c r="H150" s="32">
        <f t="shared" si="90"/>
        <v>8760</v>
      </c>
      <c r="I150" s="32">
        <v>60</v>
      </c>
      <c r="J150" s="36"/>
      <c r="K150" s="32">
        <f>G150</f>
        <v>730</v>
      </c>
      <c r="L150" s="32">
        <v>300</v>
      </c>
      <c r="M150" s="37"/>
      <c r="N150" s="24">
        <v>125</v>
      </c>
      <c r="O150" s="24"/>
      <c r="P150" s="12">
        <f>G150*0.0775*13</f>
        <v>735.47500000000002</v>
      </c>
      <c r="Q150" s="40"/>
      <c r="R150" s="12">
        <f>P150/13</f>
        <v>56.575000000000003</v>
      </c>
      <c r="S150" s="12"/>
      <c r="T150" s="12"/>
      <c r="U150" s="12">
        <f>G150*0.075*13</f>
        <v>711.75</v>
      </c>
      <c r="V150" s="12">
        <f>U150/13</f>
        <v>54.75</v>
      </c>
      <c r="W150" s="12"/>
      <c r="X150" s="12"/>
      <c r="Y150" s="12">
        <f t="shared" si="94"/>
        <v>1447.2249999999999</v>
      </c>
      <c r="Z150" s="12">
        <f>G150*0.01*13</f>
        <v>94.899999999999991</v>
      </c>
      <c r="AA150" s="12">
        <f>Z150/13</f>
        <v>7.2999999999999989</v>
      </c>
      <c r="AB150" s="38"/>
      <c r="AC150" s="38"/>
      <c r="AD150" s="38"/>
      <c r="AE150" s="38"/>
      <c r="AF150" s="37"/>
      <c r="AG150" s="38"/>
      <c r="AH150" s="37"/>
      <c r="AI150" s="12"/>
      <c r="AJ150" s="38"/>
      <c r="AK150" s="38"/>
      <c r="AL150" s="38"/>
      <c r="AM150" s="12"/>
      <c r="AN150" s="12"/>
      <c r="AO150" s="12"/>
      <c r="AP150" s="38"/>
      <c r="AQ150" s="37"/>
    </row>
    <row r="151" spans="1:43">
      <c r="A151" s="21">
        <f t="shared" si="97"/>
        <v>105</v>
      </c>
      <c r="B151" s="27" t="s">
        <v>309</v>
      </c>
      <c r="C151" s="25" t="s">
        <v>310</v>
      </c>
      <c r="D151" s="83" t="s">
        <v>305</v>
      </c>
      <c r="E151" s="84" t="s">
        <v>79</v>
      </c>
      <c r="F151" s="85" t="s">
        <v>306</v>
      </c>
      <c r="G151" s="26">
        <f>570+30+50</f>
        <v>650</v>
      </c>
      <c r="H151" s="32">
        <f t="shared" si="90"/>
        <v>7800</v>
      </c>
      <c r="I151" s="32">
        <v>60</v>
      </c>
      <c r="J151" s="36"/>
      <c r="K151" s="32">
        <f>G151</f>
        <v>650</v>
      </c>
      <c r="L151" s="32">
        <v>300</v>
      </c>
      <c r="M151" s="37"/>
      <c r="N151" s="24">
        <v>125</v>
      </c>
      <c r="O151" s="24"/>
      <c r="P151" s="12">
        <f>G151*0.0775*13</f>
        <v>654.875</v>
      </c>
      <c r="Q151" s="40"/>
      <c r="R151" s="12">
        <f>P151/13</f>
        <v>50.375</v>
      </c>
      <c r="S151" s="12"/>
      <c r="T151" s="12"/>
      <c r="U151" s="12">
        <f>G151*0.075*13</f>
        <v>633.75</v>
      </c>
      <c r="V151" s="12">
        <f>U151/13</f>
        <v>48.75</v>
      </c>
      <c r="W151" s="12"/>
      <c r="X151" s="12"/>
      <c r="Y151" s="12">
        <f t="shared" si="94"/>
        <v>1288.625</v>
      </c>
      <c r="Z151" s="12">
        <f>G151*0.01*13</f>
        <v>84.5</v>
      </c>
      <c r="AA151" s="12">
        <f>Z151/13</f>
        <v>6.5</v>
      </c>
      <c r="AB151" s="38"/>
      <c r="AC151" s="38"/>
      <c r="AD151" s="38"/>
      <c r="AE151" s="38"/>
      <c r="AF151" s="37"/>
      <c r="AG151" s="38"/>
      <c r="AH151" s="37"/>
      <c r="AI151" s="12"/>
      <c r="AJ151" s="38"/>
      <c r="AK151" s="38"/>
      <c r="AL151" s="38"/>
      <c r="AM151" s="12"/>
      <c r="AN151" s="12"/>
      <c r="AO151" s="12"/>
      <c r="AP151" s="38"/>
      <c r="AQ151" s="37"/>
    </row>
    <row r="152" spans="1:43">
      <c r="A152" s="21">
        <f t="shared" si="97"/>
        <v>106</v>
      </c>
      <c r="B152" s="27" t="s">
        <v>311</v>
      </c>
      <c r="C152" s="56" t="s">
        <v>312</v>
      </c>
      <c r="D152" s="83" t="s">
        <v>305</v>
      </c>
      <c r="E152" s="84" t="s">
        <v>79</v>
      </c>
      <c r="F152" s="85" t="s">
        <v>306</v>
      </c>
      <c r="G152" s="26">
        <f>567+30+50</f>
        <v>647</v>
      </c>
      <c r="H152" s="32">
        <f t="shared" si="90"/>
        <v>7764</v>
      </c>
      <c r="I152" s="32">
        <v>60</v>
      </c>
      <c r="J152" s="36"/>
      <c r="K152" s="32">
        <f t="shared" si="91"/>
        <v>647</v>
      </c>
      <c r="L152" s="32">
        <v>300</v>
      </c>
      <c r="M152" s="37"/>
      <c r="N152" s="24">
        <v>125</v>
      </c>
      <c r="O152" s="24"/>
      <c r="P152" s="12"/>
      <c r="Q152" s="12"/>
      <c r="R152" s="12"/>
      <c r="S152" s="37"/>
      <c r="T152" s="37"/>
      <c r="U152" s="12">
        <f t="shared" si="92"/>
        <v>630.82499999999993</v>
      </c>
      <c r="V152" s="12">
        <f t="shared" si="93"/>
        <v>48.524999999999991</v>
      </c>
      <c r="W152" s="12">
        <f>G152*0.06*13</f>
        <v>504.66</v>
      </c>
      <c r="X152" s="12">
        <v>34.020000000000003</v>
      </c>
      <c r="Y152" s="12">
        <f t="shared" si="94"/>
        <v>1135.4849999999999</v>
      </c>
      <c r="Z152" s="12">
        <f t="shared" si="95"/>
        <v>84.11</v>
      </c>
      <c r="AA152" s="12">
        <f t="shared" si="96"/>
        <v>6.47</v>
      </c>
      <c r="AB152" s="38"/>
      <c r="AC152" s="38"/>
      <c r="AD152" s="38"/>
      <c r="AE152" s="38"/>
      <c r="AF152" s="37"/>
      <c r="AG152" s="38"/>
      <c r="AH152" s="37"/>
      <c r="AI152" s="12"/>
      <c r="AJ152" s="38"/>
      <c r="AK152" s="38"/>
      <c r="AL152" s="38"/>
      <c r="AM152" s="12"/>
      <c r="AN152" s="12"/>
      <c r="AO152" s="12"/>
      <c r="AP152" s="38"/>
      <c r="AQ152" s="37"/>
    </row>
    <row r="153" spans="1:43">
      <c r="A153" s="21">
        <f t="shared" si="97"/>
        <v>107</v>
      </c>
      <c r="B153" s="27" t="s">
        <v>313</v>
      </c>
      <c r="C153" s="56" t="s">
        <v>312</v>
      </c>
      <c r="D153" s="83" t="s">
        <v>305</v>
      </c>
      <c r="E153" s="84" t="s">
        <v>79</v>
      </c>
      <c r="F153" s="85" t="s">
        <v>306</v>
      </c>
      <c r="G153" s="26">
        <v>677</v>
      </c>
      <c r="H153" s="32">
        <f t="shared" si="90"/>
        <v>8124</v>
      </c>
      <c r="I153" s="32">
        <v>60</v>
      </c>
      <c r="J153" s="36"/>
      <c r="K153" s="32">
        <f>G153</f>
        <v>677</v>
      </c>
      <c r="L153" s="32">
        <v>300</v>
      </c>
      <c r="M153" s="12"/>
      <c r="N153" s="24">
        <v>125</v>
      </c>
      <c r="O153" s="24"/>
      <c r="P153" s="12">
        <f>G153*0.0775*13</f>
        <v>682.07749999999999</v>
      </c>
      <c r="Q153" s="9"/>
      <c r="R153" s="12">
        <f>P153/13</f>
        <v>52.467500000000001</v>
      </c>
      <c r="S153" s="37"/>
      <c r="T153" s="37"/>
      <c r="U153" s="12">
        <f>G153*0.075*13</f>
        <v>660.07499999999993</v>
      </c>
      <c r="V153" s="12">
        <f>U153/13</f>
        <v>50.774999999999991</v>
      </c>
      <c r="W153" s="37"/>
      <c r="X153" s="37"/>
      <c r="Y153" s="12">
        <f t="shared" si="94"/>
        <v>1342.1524999999999</v>
      </c>
      <c r="Z153" s="12">
        <f>G153*0.01*13</f>
        <v>88.01</v>
      </c>
      <c r="AA153" s="12">
        <f>Z153/13</f>
        <v>6.7700000000000005</v>
      </c>
      <c r="AB153" s="38"/>
      <c r="AC153" s="38"/>
      <c r="AD153" s="38"/>
      <c r="AE153" s="38"/>
      <c r="AF153" s="37"/>
      <c r="AG153" s="38"/>
      <c r="AH153" s="37"/>
      <c r="AI153" s="12"/>
      <c r="AJ153" s="38"/>
      <c r="AK153" s="38"/>
      <c r="AL153" s="38"/>
      <c r="AM153" s="12"/>
      <c r="AN153" s="12"/>
      <c r="AO153" s="12"/>
      <c r="AP153" s="38"/>
      <c r="AQ153" s="37"/>
    </row>
    <row r="154" spans="1:43">
      <c r="A154" s="21">
        <f t="shared" si="97"/>
        <v>108</v>
      </c>
      <c r="B154" s="27" t="s">
        <v>314</v>
      </c>
      <c r="C154" s="56" t="s">
        <v>315</v>
      </c>
      <c r="D154" s="83" t="s">
        <v>305</v>
      </c>
      <c r="E154" s="84" t="s">
        <v>79</v>
      </c>
      <c r="F154" s="85" t="s">
        <v>306</v>
      </c>
      <c r="G154" s="26">
        <f>467+30+50</f>
        <v>547</v>
      </c>
      <c r="H154" s="32">
        <f t="shared" si="90"/>
        <v>6564</v>
      </c>
      <c r="I154" s="32">
        <v>60</v>
      </c>
      <c r="J154" s="36"/>
      <c r="K154" s="32">
        <f t="shared" si="91"/>
        <v>547</v>
      </c>
      <c r="L154" s="32">
        <v>300</v>
      </c>
      <c r="M154" s="37"/>
      <c r="N154" s="24">
        <v>125</v>
      </c>
      <c r="O154" s="24"/>
      <c r="P154" s="12">
        <f>G154*0.0775*13</f>
        <v>551.10249999999996</v>
      </c>
      <c r="Q154" s="40"/>
      <c r="R154" s="12">
        <f>P154/13</f>
        <v>42.392499999999998</v>
      </c>
      <c r="S154" s="37"/>
      <c r="T154" s="37"/>
      <c r="U154" s="12">
        <f t="shared" si="92"/>
        <v>533.32499999999993</v>
      </c>
      <c r="V154" s="12">
        <f t="shared" si="93"/>
        <v>41.024999999999991</v>
      </c>
      <c r="W154" s="37"/>
      <c r="X154" s="37"/>
      <c r="Y154" s="12">
        <f t="shared" si="94"/>
        <v>1084.4274999999998</v>
      </c>
      <c r="Z154" s="12">
        <f t="shared" si="95"/>
        <v>71.11</v>
      </c>
      <c r="AA154" s="12">
        <f t="shared" si="96"/>
        <v>5.47</v>
      </c>
      <c r="AB154" s="38"/>
      <c r="AC154" s="38"/>
      <c r="AD154" s="38"/>
      <c r="AE154" s="38"/>
      <c r="AF154" s="37"/>
      <c r="AG154" s="38"/>
      <c r="AH154" s="37"/>
      <c r="AI154" s="12"/>
      <c r="AJ154" s="38"/>
      <c r="AK154" s="38"/>
      <c r="AL154" s="38"/>
      <c r="AM154" s="12"/>
      <c r="AN154" s="12"/>
      <c r="AO154" s="12"/>
      <c r="AP154" s="38"/>
      <c r="AQ154" s="37"/>
    </row>
    <row r="155" spans="1:43">
      <c r="A155" s="21">
        <f t="shared" si="97"/>
        <v>109</v>
      </c>
      <c r="B155" s="27" t="s">
        <v>316</v>
      </c>
      <c r="C155" s="56" t="s">
        <v>317</v>
      </c>
      <c r="D155" s="83" t="s">
        <v>305</v>
      </c>
      <c r="E155" s="84" t="s">
        <v>79</v>
      </c>
      <c r="F155" s="85" t="s">
        <v>306</v>
      </c>
      <c r="G155" s="26">
        <f>417+30+50</f>
        <v>497</v>
      </c>
      <c r="H155" s="32">
        <f t="shared" si="90"/>
        <v>5964</v>
      </c>
      <c r="I155" s="32">
        <v>60</v>
      </c>
      <c r="J155" s="36"/>
      <c r="K155" s="32">
        <f>G155</f>
        <v>497</v>
      </c>
      <c r="L155" s="32">
        <v>300</v>
      </c>
      <c r="M155" s="37"/>
      <c r="N155" s="24">
        <v>125</v>
      </c>
      <c r="O155" s="24"/>
      <c r="P155" s="12">
        <f>G155*0.0775*13+0.01</f>
        <v>500.73749999999995</v>
      </c>
      <c r="Q155" s="9">
        <f>P155/13</f>
        <v>38.518269230769228</v>
      </c>
      <c r="R155" s="12"/>
      <c r="S155" s="37"/>
      <c r="T155" s="37"/>
      <c r="U155" s="12">
        <f>G155*0.075*13</f>
        <v>484.57499999999999</v>
      </c>
      <c r="V155" s="12">
        <f>U155/13</f>
        <v>37.274999999999999</v>
      </c>
      <c r="W155" s="37"/>
      <c r="X155" s="37"/>
      <c r="Y155" s="12">
        <f>P155+S155+U155+W155+0.01</f>
        <v>985.32249999999999</v>
      </c>
      <c r="Z155" s="12">
        <f>G155*0.01*13</f>
        <v>64.61</v>
      </c>
      <c r="AA155" s="12">
        <f>Z155/13</f>
        <v>4.97</v>
      </c>
      <c r="AB155" s="38"/>
      <c r="AC155" s="38"/>
      <c r="AD155" s="38"/>
      <c r="AE155" s="38"/>
      <c r="AF155" s="37"/>
      <c r="AG155" s="38"/>
      <c r="AH155" s="37"/>
      <c r="AI155" s="12"/>
      <c r="AJ155" s="38"/>
      <c r="AK155" s="38"/>
      <c r="AL155" s="38"/>
      <c r="AM155" s="12"/>
      <c r="AN155" s="12"/>
      <c r="AO155" s="12"/>
      <c r="AP155" s="38"/>
      <c r="AQ155" s="37"/>
    </row>
    <row r="156" spans="1:43">
      <c r="A156" s="21">
        <f t="shared" si="97"/>
        <v>110</v>
      </c>
      <c r="B156" s="58" t="s">
        <v>318</v>
      </c>
      <c r="C156" s="51" t="s">
        <v>319</v>
      </c>
      <c r="D156" s="83" t="s">
        <v>305</v>
      </c>
      <c r="E156" s="84" t="s">
        <v>79</v>
      </c>
      <c r="F156" s="85" t="s">
        <v>306</v>
      </c>
      <c r="G156" s="26">
        <v>417</v>
      </c>
      <c r="H156" s="32">
        <f t="shared" si="90"/>
        <v>5004</v>
      </c>
      <c r="I156" s="32">
        <v>60</v>
      </c>
      <c r="J156" s="36"/>
      <c r="K156" s="32">
        <f>G156</f>
        <v>417</v>
      </c>
      <c r="L156" s="32">
        <v>300</v>
      </c>
      <c r="M156" s="37"/>
      <c r="N156" s="24">
        <v>125</v>
      </c>
      <c r="O156" s="24"/>
      <c r="P156" s="12">
        <f>G156*0.0775*13+0.01</f>
        <v>420.13750000000005</v>
      </c>
      <c r="Q156" s="9">
        <f>P156/13</f>
        <v>32.318269230769232</v>
      </c>
      <c r="R156" s="12"/>
      <c r="S156" s="37"/>
      <c r="T156" s="37"/>
      <c r="U156" s="12">
        <f>G156*0.075*13</f>
        <v>406.57499999999999</v>
      </c>
      <c r="V156" s="12">
        <f>U156/13</f>
        <v>31.274999999999999</v>
      </c>
      <c r="W156" s="37"/>
      <c r="X156" s="37"/>
      <c r="Y156" s="12">
        <f>P156+S156+U156+W156+0.01</f>
        <v>826.72250000000008</v>
      </c>
      <c r="Z156" s="12">
        <f>G156*0.01*13</f>
        <v>54.21</v>
      </c>
      <c r="AA156" s="12">
        <f>Z156/13</f>
        <v>4.17</v>
      </c>
      <c r="AB156" s="38"/>
      <c r="AC156" s="38"/>
      <c r="AD156" s="38"/>
      <c r="AE156" s="38"/>
      <c r="AF156" s="37"/>
      <c r="AG156" s="38"/>
      <c r="AH156" s="37"/>
      <c r="AI156" s="12"/>
      <c r="AJ156" s="38"/>
      <c r="AK156" s="38"/>
      <c r="AL156" s="38"/>
      <c r="AM156" s="12"/>
      <c r="AN156" s="12"/>
      <c r="AO156" s="12"/>
      <c r="AP156" s="38"/>
      <c r="AQ156" s="37"/>
    </row>
    <row r="157" spans="1:43">
      <c r="A157" s="21">
        <f>A156+1</f>
        <v>111</v>
      </c>
      <c r="B157" s="58" t="s">
        <v>320</v>
      </c>
      <c r="C157" s="51" t="s">
        <v>319</v>
      </c>
      <c r="D157" s="83" t="s">
        <v>305</v>
      </c>
      <c r="E157" s="84" t="s">
        <v>79</v>
      </c>
      <c r="F157" s="85" t="s">
        <v>306</v>
      </c>
      <c r="G157" s="26">
        <v>417</v>
      </c>
      <c r="H157" s="32">
        <f>G157*12</f>
        <v>5004</v>
      </c>
      <c r="I157" s="32">
        <v>60</v>
      </c>
      <c r="J157" s="32"/>
      <c r="K157" s="32">
        <f>G157</f>
        <v>417</v>
      </c>
      <c r="L157" s="32">
        <v>300</v>
      </c>
      <c r="M157" s="12"/>
      <c r="N157" s="24">
        <v>125</v>
      </c>
      <c r="O157" s="24"/>
      <c r="P157" s="12">
        <f>G157*0.0775*13</f>
        <v>420.12750000000005</v>
      </c>
      <c r="Q157" s="40"/>
      <c r="R157" s="12">
        <f>P157/13</f>
        <v>32.317500000000003</v>
      </c>
      <c r="S157" s="12"/>
      <c r="T157" s="12"/>
      <c r="U157" s="12">
        <f>G157*0.075*13</f>
        <v>406.57499999999999</v>
      </c>
      <c r="V157" s="12">
        <f>U157/13</f>
        <v>31.274999999999999</v>
      </c>
      <c r="W157" s="12"/>
      <c r="X157" s="12"/>
      <c r="Y157" s="12">
        <f>P157+S157+U157+W157</f>
        <v>826.7025000000001</v>
      </c>
      <c r="Z157" s="12">
        <f>G157*0.01*13</f>
        <v>54.21</v>
      </c>
      <c r="AA157" s="12">
        <f>Z157/13</f>
        <v>4.17</v>
      </c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1:43">
      <c r="A158" s="49"/>
      <c r="B158" s="15"/>
      <c r="C158" s="86" t="s">
        <v>321</v>
      </c>
      <c r="D158" s="90"/>
      <c r="E158" s="84"/>
      <c r="F158" s="85"/>
      <c r="G158" s="87">
        <f>SUM(G149:G157)</f>
        <v>5457</v>
      </c>
      <c r="H158" s="30">
        <f t="shared" ref="H158:I158" si="98">SUM(H149:H157)</f>
        <v>65484</v>
      </c>
      <c r="I158" s="30">
        <f t="shared" si="98"/>
        <v>540</v>
      </c>
      <c r="J158" s="30"/>
      <c r="K158" s="30">
        <f t="shared" ref="K158:L158" si="99">SUM(K149:K157)</f>
        <v>5457</v>
      </c>
      <c r="L158" s="30">
        <f t="shared" si="99"/>
        <v>2700</v>
      </c>
      <c r="M158" s="20"/>
      <c r="N158" s="20">
        <f>SUM(N149:N157)</f>
        <v>1125</v>
      </c>
      <c r="O158" s="31"/>
      <c r="P158" s="20">
        <f>SUM(P149:P157)</f>
        <v>4846.0949999999993</v>
      </c>
      <c r="Q158" s="20">
        <f>SUM(Q149:Q157)</f>
        <v>138.64903846153845</v>
      </c>
      <c r="R158" s="20">
        <f>SUM(R149:R157)</f>
        <v>234.1275</v>
      </c>
      <c r="S158" s="20">
        <f>SUM(S149:S156)</f>
        <v>0</v>
      </c>
      <c r="T158" s="20">
        <f>SUM(T149:T156)</f>
        <v>0</v>
      </c>
      <c r="U158" s="20">
        <f>SUM(U149:U157)+0.03</f>
        <v>5320.6049999999987</v>
      </c>
      <c r="V158" s="20">
        <f>SUM(V149:V157)+0.03</f>
        <v>409.30499999999984</v>
      </c>
      <c r="W158" s="20">
        <f t="shared" ref="W158:X158" si="100">SUM(W149:W157)</f>
        <v>504.66</v>
      </c>
      <c r="X158" s="20">
        <f t="shared" si="100"/>
        <v>34.020000000000003</v>
      </c>
      <c r="Y158" s="20">
        <f>SUM(Y149:Y157)+0.02</f>
        <v>10671.369999999999</v>
      </c>
      <c r="Z158" s="20">
        <f t="shared" ref="Z158:AA158" si="101">SUM(Z149:Z157)</f>
        <v>709.41000000000008</v>
      </c>
      <c r="AA158" s="20">
        <f t="shared" si="101"/>
        <v>54.57</v>
      </c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</row>
    <row r="159" spans="1:43" ht="19.5">
      <c r="A159" s="21">
        <f>A157+1</f>
        <v>112</v>
      </c>
      <c r="B159" s="27" t="s">
        <v>322</v>
      </c>
      <c r="C159" s="106" t="s">
        <v>323</v>
      </c>
      <c r="D159" s="107" t="s">
        <v>324</v>
      </c>
      <c r="E159" s="84" t="s">
        <v>79</v>
      </c>
      <c r="F159" s="85" t="s">
        <v>306</v>
      </c>
      <c r="G159" s="26">
        <f>1219.86+30+50</f>
        <v>1299.8599999999999</v>
      </c>
      <c r="H159" s="32">
        <f t="shared" ref="H159:H168" si="102">G159*12</f>
        <v>15598.32</v>
      </c>
      <c r="I159" s="32">
        <v>60</v>
      </c>
      <c r="J159" s="36"/>
      <c r="K159" s="32">
        <f t="shared" ref="K159:K168" si="103">G159</f>
        <v>1299.8599999999999</v>
      </c>
      <c r="L159" s="32">
        <v>300</v>
      </c>
      <c r="M159" s="37"/>
      <c r="N159" s="24">
        <v>125</v>
      </c>
      <c r="O159" s="24"/>
      <c r="P159" s="12">
        <f>G159*0.0775*13</f>
        <v>1309.6089499999998</v>
      </c>
      <c r="Q159" s="9">
        <f>P159/13</f>
        <v>100.73914999999998</v>
      </c>
      <c r="R159" s="12"/>
      <c r="S159" s="37"/>
      <c r="T159" s="37"/>
      <c r="U159" s="12">
        <f>75*13</f>
        <v>975</v>
      </c>
      <c r="V159" s="12">
        <f t="shared" ref="V159:V168" si="104">U159/13</f>
        <v>75</v>
      </c>
      <c r="W159" s="37"/>
      <c r="X159" s="37"/>
      <c r="Y159" s="12">
        <f t="shared" ref="Y159:Y168" si="105">P159+S159+U159+W159</f>
        <v>2284.6089499999998</v>
      </c>
      <c r="Z159" s="12">
        <f>10*13</f>
        <v>130</v>
      </c>
      <c r="AA159" s="12">
        <f t="shared" ref="AA159:AA168" si="106">Z159/13</f>
        <v>10</v>
      </c>
      <c r="AB159" s="12"/>
      <c r="AC159" s="12"/>
      <c r="AD159" s="12"/>
      <c r="AE159" s="38"/>
      <c r="AF159" s="37"/>
      <c r="AG159" s="38"/>
      <c r="AH159" s="37"/>
      <c r="AI159" s="12"/>
      <c r="AJ159" s="12"/>
      <c r="AK159" s="12"/>
      <c r="AL159" s="12"/>
      <c r="AM159" s="12"/>
      <c r="AN159" s="12"/>
      <c r="AO159" s="12"/>
      <c r="AP159" s="12"/>
      <c r="AQ159" s="37"/>
    </row>
    <row r="160" spans="1:43" ht="19.5">
      <c r="A160" s="21">
        <f t="shared" ref="A160:A162" si="107">A159+1</f>
        <v>113</v>
      </c>
      <c r="B160" s="42" t="s">
        <v>325</v>
      </c>
      <c r="C160" s="56" t="s">
        <v>326</v>
      </c>
      <c r="D160" s="107" t="s">
        <v>324</v>
      </c>
      <c r="E160" s="84" t="s">
        <v>79</v>
      </c>
      <c r="F160" s="85" t="s">
        <v>306</v>
      </c>
      <c r="G160" s="26">
        <v>1000</v>
      </c>
      <c r="H160" s="32">
        <f>G160*12</f>
        <v>12000</v>
      </c>
      <c r="I160" s="32">
        <v>60</v>
      </c>
      <c r="J160" s="36"/>
      <c r="K160" s="32">
        <f>G160</f>
        <v>1000</v>
      </c>
      <c r="L160" s="32">
        <v>300</v>
      </c>
      <c r="M160" s="37"/>
      <c r="N160" s="24">
        <v>125</v>
      </c>
      <c r="O160" s="24"/>
      <c r="P160" s="12">
        <f>G160*0.0775*13</f>
        <v>1007.5</v>
      </c>
      <c r="Q160" s="40"/>
      <c r="R160" s="12">
        <f>P160/13</f>
        <v>77.5</v>
      </c>
      <c r="S160" s="37"/>
      <c r="T160" s="37"/>
      <c r="U160" s="12">
        <f>G160*0.075*13</f>
        <v>975</v>
      </c>
      <c r="V160" s="12">
        <f>U160/13</f>
        <v>75</v>
      </c>
      <c r="W160" s="37"/>
      <c r="X160" s="37"/>
      <c r="Y160" s="12">
        <f>P160+S160+U160+W160</f>
        <v>1982.5</v>
      </c>
      <c r="Z160" s="12">
        <f>G160*0.01*13</f>
        <v>130</v>
      </c>
      <c r="AA160" s="12">
        <f>Z160/13</f>
        <v>10</v>
      </c>
      <c r="AB160" s="38"/>
      <c r="AC160" s="38"/>
      <c r="AD160" s="38"/>
      <c r="AE160" s="38"/>
      <c r="AF160" s="37"/>
      <c r="AG160" s="38"/>
      <c r="AH160" s="37"/>
      <c r="AI160" s="12"/>
      <c r="AJ160" s="38"/>
      <c r="AK160" s="38"/>
      <c r="AL160" s="38"/>
      <c r="AM160" s="12"/>
      <c r="AN160" s="12"/>
      <c r="AO160" s="12"/>
      <c r="AP160" s="38"/>
      <c r="AQ160" s="37"/>
    </row>
    <row r="161" spans="1:43" ht="19.5">
      <c r="A161" s="21">
        <f t="shared" si="107"/>
        <v>114</v>
      </c>
      <c r="B161" s="27" t="s">
        <v>327</v>
      </c>
      <c r="C161" s="108" t="s">
        <v>328</v>
      </c>
      <c r="D161" s="107" t="s">
        <v>324</v>
      </c>
      <c r="E161" s="84" t="s">
        <v>79</v>
      </c>
      <c r="F161" s="85" t="s">
        <v>306</v>
      </c>
      <c r="G161" s="26">
        <f>612+30+50</f>
        <v>692</v>
      </c>
      <c r="H161" s="32">
        <f t="shared" si="102"/>
        <v>8304</v>
      </c>
      <c r="I161" s="32">
        <v>60</v>
      </c>
      <c r="J161" s="36"/>
      <c r="K161" s="32">
        <f t="shared" si="103"/>
        <v>692</v>
      </c>
      <c r="L161" s="32">
        <v>300</v>
      </c>
      <c r="M161" s="37"/>
      <c r="N161" s="24">
        <v>125</v>
      </c>
      <c r="O161" s="24"/>
      <c r="P161" s="12">
        <f>G161*0.0775*13</f>
        <v>697.19</v>
      </c>
      <c r="Q161" s="9">
        <f>P161/13</f>
        <v>53.63</v>
      </c>
      <c r="R161" s="12"/>
      <c r="S161" s="37"/>
      <c r="T161" s="37"/>
      <c r="U161" s="12">
        <f t="shared" ref="U161:U168" si="108">G161*0.075*13</f>
        <v>674.69999999999993</v>
      </c>
      <c r="V161" s="12">
        <f t="shared" si="104"/>
        <v>51.899999999999991</v>
      </c>
      <c r="W161" s="37"/>
      <c r="X161" s="37"/>
      <c r="Y161" s="12">
        <f t="shared" si="105"/>
        <v>1371.8899999999999</v>
      </c>
      <c r="Z161" s="12">
        <f t="shared" ref="Z161:Z168" si="109">G161*0.01*13</f>
        <v>89.96</v>
      </c>
      <c r="AA161" s="12">
        <f t="shared" si="106"/>
        <v>6.92</v>
      </c>
      <c r="AB161" s="38"/>
      <c r="AC161" s="38"/>
      <c r="AD161" s="38"/>
      <c r="AE161" s="38"/>
      <c r="AF161" s="37"/>
      <c r="AG161" s="38"/>
      <c r="AH161" s="37"/>
      <c r="AI161" s="12"/>
      <c r="AJ161" s="38"/>
      <c r="AK161" s="38"/>
      <c r="AL161" s="38"/>
      <c r="AM161" s="12"/>
      <c r="AN161" s="12"/>
      <c r="AO161" s="12"/>
      <c r="AP161" s="38"/>
      <c r="AQ161" s="37"/>
    </row>
    <row r="162" spans="1:43" ht="19.5">
      <c r="A162" s="21">
        <f t="shared" si="107"/>
        <v>115</v>
      </c>
      <c r="B162" s="27" t="s">
        <v>329</v>
      </c>
      <c r="C162" s="56" t="s">
        <v>135</v>
      </c>
      <c r="D162" s="107" t="s">
        <v>324</v>
      </c>
      <c r="E162" s="84" t="s">
        <v>79</v>
      </c>
      <c r="F162" s="85" t="s">
        <v>306</v>
      </c>
      <c r="G162" s="26">
        <f>617.72+30+50</f>
        <v>697.72</v>
      </c>
      <c r="H162" s="32">
        <f t="shared" si="102"/>
        <v>8372.64</v>
      </c>
      <c r="I162" s="32">
        <v>60</v>
      </c>
      <c r="J162" s="36"/>
      <c r="K162" s="32">
        <f t="shared" si="103"/>
        <v>697.72</v>
      </c>
      <c r="L162" s="32">
        <v>300</v>
      </c>
      <c r="M162" s="37"/>
      <c r="N162" s="24">
        <v>125</v>
      </c>
      <c r="O162" s="24"/>
      <c r="P162" s="12"/>
      <c r="Q162" s="12"/>
      <c r="R162" s="12"/>
      <c r="S162" s="37"/>
      <c r="T162" s="37"/>
      <c r="U162" s="12">
        <f t="shared" si="108"/>
        <v>680.27700000000004</v>
      </c>
      <c r="V162" s="12">
        <f t="shared" si="104"/>
        <v>52.329000000000001</v>
      </c>
      <c r="W162" s="12">
        <f>G162*0.06*13</f>
        <v>544.22159999999997</v>
      </c>
      <c r="X162" s="12">
        <f>W162/12</f>
        <v>45.351799999999997</v>
      </c>
      <c r="Y162" s="12">
        <f t="shared" si="105"/>
        <v>1224.4985999999999</v>
      </c>
      <c r="Z162" s="12">
        <f t="shared" si="109"/>
        <v>90.703600000000009</v>
      </c>
      <c r="AA162" s="12">
        <f t="shared" si="106"/>
        <v>6.9772000000000007</v>
      </c>
      <c r="AB162" s="38"/>
      <c r="AC162" s="38"/>
      <c r="AD162" s="38"/>
      <c r="AE162" s="38"/>
      <c r="AF162" s="37"/>
      <c r="AG162" s="38"/>
      <c r="AH162" s="38"/>
      <c r="AI162" s="12"/>
      <c r="AJ162" s="38"/>
      <c r="AK162" s="38"/>
      <c r="AL162" s="38"/>
      <c r="AM162" s="12"/>
      <c r="AN162" s="12"/>
      <c r="AO162" s="12"/>
      <c r="AP162" s="38"/>
      <c r="AQ162" s="37"/>
    </row>
    <row r="163" spans="1:43" ht="19.5">
      <c r="A163" s="21">
        <f>A162+1</f>
        <v>116</v>
      </c>
      <c r="B163" s="27" t="s">
        <v>330</v>
      </c>
      <c r="C163" s="56" t="s">
        <v>137</v>
      </c>
      <c r="D163" s="107" t="s">
        <v>324</v>
      </c>
      <c r="E163" s="84" t="s">
        <v>79</v>
      </c>
      <c r="F163" s="85" t="s">
        <v>306</v>
      </c>
      <c r="G163" s="26">
        <f>605+30+50</f>
        <v>685</v>
      </c>
      <c r="H163" s="32">
        <f>G163*12</f>
        <v>8220</v>
      </c>
      <c r="I163" s="32">
        <v>60</v>
      </c>
      <c r="J163" s="36"/>
      <c r="K163" s="32">
        <f>G163</f>
        <v>685</v>
      </c>
      <c r="L163" s="32">
        <v>300</v>
      </c>
      <c r="M163" s="12"/>
      <c r="N163" s="24">
        <v>125</v>
      </c>
      <c r="O163" s="24"/>
      <c r="P163" s="12"/>
      <c r="Q163" s="12"/>
      <c r="R163" s="12"/>
      <c r="S163" s="37"/>
      <c r="T163" s="37"/>
      <c r="U163" s="12">
        <f t="shared" si="108"/>
        <v>667.875</v>
      </c>
      <c r="V163" s="12">
        <f>U163/13</f>
        <v>51.375</v>
      </c>
      <c r="W163" s="12">
        <f>G163*0.06*13</f>
        <v>534.30000000000007</v>
      </c>
      <c r="X163" s="12">
        <f>W163/12</f>
        <v>44.525000000000006</v>
      </c>
      <c r="Y163" s="12">
        <f>P163+S163+U163+W163</f>
        <v>1202.1750000000002</v>
      </c>
      <c r="Z163" s="12">
        <f t="shared" si="109"/>
        <v>89.050000000000011</v>
      </c>
      <c r="AA163" s="12">
        <f>Z163/13</f>
        <v>6.8500000000000005</v>
      </c>
      <c r="AB163" s="38"/>
      <c r="AC163" s="38"/>
      <c r="AD163" s="38"/>
      <c r="AE163" s="38"/>
      <c r="AF163" s="37"/>
      <c r="AG163" s="38"/>
      <c r="AH163" s="37"/>
      <c r="AI163" s="12"/>
      <c r="AJ163" s="38"/>
      <c r="AK163" s="38"/>
      <c r="AL163" s="38"/>
      <c r="AM163" s="12"/>
      <c r="AN163" s="12"/>
      <c r="AO163" s="12"/>
      <c r="AP163" s="38"/>
      <c r="AQ163" s="37"/>
    </row>
    <row r="164" spans="1:43" ht="19.5">
      <c r="A164" s="21">
        <f t="shared" ref="A164:A168" si="110">A163+1</f>
        <v>117</v>
      </c>
      <c r="B164" s="126"/>
      <c r="C164" s="56" t="s">
        <v>331</v>
      </c>
      <c r="D164" s="107" t="s">
        <v>324</v>
      </c>
      <c r="E164" s="84" t="s">
        <v>79</v>
      </c>
      <c r="F164" s="85" t="s">
        <v>306</v>
      </c>
      <c r="G164" s="26">
        <v>700</v>
      </c>
      <c r="H164" s="32">
        <f t="shared" si="102"/>
        <v>8400</v>
      </c>
      <c r="I164" s="32">
        <v>60</v>
      </c>
      <c r="J164" s="36"/>
      <c r="K164" s="32">
        <f t="shared" si="103"/>
        <v>700</v>
      </c>
      <c r="L164" s="32">
        <v>300</v>
      </c>
      <c r="M164" s="37"/>
      <c r="N164" s="24">
        <v>125</v>
      </c>
      <c r="O164" s="24"/>
      <c r="P164" s="12">
        <f>G164*0.0775*13</f>
        <v>705.25</v>
      </c>
      <c r="Q164" s="40"/>
      <c r="R164" s="12">
        <f>P164/13</f>
        <v>54.25</v>
      </c>
      <c r="S164" s="37"/>
      <c r="T164" s="37"/>
      <c r="U164" s="12">
        <f t="shared" si="108"/>
        <v>682.5</v>
      </c>
      <c r="V164" s="12">
        <f t="shared" si="104"/>
        <v>52.5</v>
      </c>
      <c r="W164" s="37"/>
      <c r="X164" s="37"/>
      <c r="Y164" s="12">
        <f>P164+S164+U164+W164</f>
        <v>1387.75</v>
      </c>
      <c r="Z164" s="12">
        <f t="shared" si="109"/>
        <v>91</v>
      </c>
      <c r="AA164" s="12">
        <f t="shared" si="106"/>
        <v>7</v>
      </c>
      <c r="AB164" s="38"/>
      <c r="AC164" s="38"/>
      <c r="AD164" s="38"/>
      <c r="AE164" s="38"/>
      <c r="AF164" s="37"/>
      <c r="AG164" s="38"/>
      <c r="AH164" s="37"/>
      <c r="AI164" s="12"/>
      <c r="AJ164" s="38"/>
      <c r="AK164" s="38"/>
      <c r="AL164" s="38"/>
      <c r="AM164" s="12"/>
      <c r="AN164" s="12"/>
      <c r="AO164" s="12"/>
      <c r="AP164" s="38"/>
      <c r="AQ164" s="37"/>
    </row>
    <row r="165" spans="1:43" ht="19.5">
      <c r="A165" s="21">
        <f t="shared" si="110"/>
        <v>118</v>
      </c>
      <c r="B165" s="27" t="s">
        <v>332</v>
      </c>
      <c r="C165" s="56" t="s">
        <v>333</v>
      </c>
      <c r="D165" s="107" t="s">
        <v>324</v>
      </c>
      <c r="E165" s="84" t="s">
        <v>79</v>
      </c>
      <c r="F165" s="85" t="s">
        <v>306</v>
      </c>
      <c r="G165" s="26">
        <f>587+30+50</f>
        <v>667</v>
      </c>
      <c r="H165" s="32">
        <f t="shared" si="102"/>
        <v>8004</v>
      </c>
      <c r="I165" s="32">
        <v>60</v>
      </c>
      <c r="J165" s="36"/>
      <c r="K165" s="32">
        <f t="shared" si="103"/>
        <v>667</v>
      </c>
      <c r="L165" s="32">
        <v>300</v>
      </c>
      <c r="M165" s="37"/>
      <c r="N165" s="24">
        <v>125</v>
      </c>
      <c r="O165" s="24"/>
      <c r="P165" s="12">
        <f>G165*0.0775*13</f>
        <v>672.00250000000005</v>
      </c>
      <c r="Q165" s="40"/>
      <c r="R165" s="12">
        <f>P165/13</f>
        <v>51.692500000000003</v>
      </c>
      <c r="S165" s="37"/>
      <c r="T165" s="37"/>
      <c r="U165" s="12">
        <f t="shared" si="108"/>
        <v>650.32499999999993</v>
      </c>
      <c r="V165" s="12">
        <f t="shared" si="104"/>
        <v>50.024999999999991</v>
      </c>
      <c r="W165" s="37"/>
      <c r="X165" s="37"/>
      <c r="Y165" s="12">
        <f>P165+S165+U165+W165</f>
        <v>1322.3274999999999</v>
      </c>
      <c r="Z165" s="12">
        <f t="shared" si="109"/>
        <v>86.71</v>
      </c>
      <c r="AA165" s="12">
        <f t="shared" si="106"/>
        <v>6.67</v>
      </c>
      <c r="AB165" s="38"/>
      <c r="AC165" s="38"/>
      <c r="AD165" s="38"/>
      <c r="AE165" s="38"/>
      <c r="AF165" s="37"/>
      <c r="AG165" s="38"/>
      <c r="AH165" s="37"/>
      <c r="AI165" s="12"/>
      <c r="AJ165" s="38"/>
      <c r="AK165" s="38"/>
      <c r="AL165" s="38"/>
      <c r="AM165" s="12"/>
      <c r="AN165" s="12"/>
      <c r="AO165" s="12"/>
      <c r="AP165" s="38"/>
      <c r="AQ165" s="37"/>
    </row>
    <row r="166" spans="1:43" ht="19.5">
      <c r="A166" s="21">
        <f t="shared" si="110"/>
        <v>119</v>
      </c>
      <c r="B166" s="27" t="s">
        <v>334</v>
      </c>
      <c r="C166" s="108" t="s">
        <v>335</v>
      </c>
      <c r="D166" s="107" t="s">
        <v>324</v>
      </c>
      <c r="E166" s="84" t="s">
        <v>79</v>
      </c>
      <c r="F166" s="85" t="s">
        <v>306</v>
      </c>
      <c r="G166" s="26">
        <f>567+30+50</f>
        <v>647</v>
      </c>
      <c r="H166" s="32">
        <f t="shared" si="102"/>
        <v>7764</v>
      </c>
      <c r="I166" s="32">
        <v>60</v>
      </c>
      <c r="J166" s="36"/>
      <c r="K166" s="32">
        <f t="shared" si="103"/>
        <v>647</v>
      </c>
      <c r="L166" s="32">
        <v>300</v>
      </c>
      <c r="M166" s="37"/>
      <c r="N166" s="24">
        <v>125</v>
      </c>
      <c r="O166" s="24"/>
      <c r="P166" s="12"/>
      <c r="Q166" s="12"/>
      <c r="R166" s="12"/>
      <c r="S166" s="12">
        <f>G166*0.075*13</f>
        <v>630.82499999999993</v>
      </c>
      <c r="T166" s="12">
        <f>S166/12</f>
        <v>52.568749999999994</v>
      </c>
      <c r="U166" s="12">
        <f t="shared" si="108"/>
        <v>630.82499999999993</v>
      </c>
      <c r="V166" s="12">
        <f t="shared" si="104"/>
        <v>48.524999999999991</v>
      </c>
      <c r="W166" s="37"/>
      <c r="X166" s="37"/>
      <c r="Y166" s="12">
        <f>P166+S166+U166+W166+0.01</f>
        <v>1261.6599999999999</v>
      </c>
      <c r="Z166" s="12">
        <f t="shared" si="109"/>
        <v>84.11</v>
      </c>
      <c r="AA166" s="12">
        <f t="shared" si="106"/>
        <v>6.47</v>
      </c>
      <c r="AB166" s="38"/>
      <c r="AC166" s="38"/>
      <c r="AD166" s="38"/>
      <c r="AE166" s="38"/>
      <c r="AF166" s="37"/>
      <c r="AG166" s="38"/>
      <c r="AH166" s="37"/>
      <c r="AI166" s="12"/>
      <c r="AJ166" s="38"/>
      <c r="AK166" s="38"/>
      <c r="AL166" s="38"/>
      <c r="AM166" s="12"/>
      <c r="AN166" s="12"/>
      <c r="AO166" s="12"/>
      <c r="AP166" s="38"/>
      <c r="AQ166" s="37"/>
    </row>
    <row r="167" spans="1:43" ht="19.5">
      <c r="A167" s="21">
        <f t="shared" si="110"/>
        <v>120</v>
      </c>
      <c r="B167" s="104" t="s">
        <v>336</v>
      </c>
      <c r="C167" s="108" t="s">
        <v>335</v>
      </c>
      <c r="D167" s="107" t="s">
        <v>324</v>
      </c>
      <c r="E167" s="84" t="s">
        <v>79</v>
      </c>
      <c r="F167" s="85" t="s">
        <v>306</v>
      </c>
      <c r="G167" s="26">
        <v>417</v>
      </c>
      <c r="H167" s="32">
        <f t="shared" si="102"/>
        <v>5004</v>
      </c>
      <c r="I167" s="32">
        <v>60</v>
      </c>
      <c r="J167" s="32"/>
      <c r="K167" s="32">
        <f t="shared" si="103"/>
        <v>417</v>
      </c>
      <c r="L167" s="32">
        <v>300</v>
      </c>
      <c r="M167" s="12"/>
      <c r="N167" s="24">
        <v>125</v>
      </c>
      <c r="O167" s="24"/>
      <c r="P167" s="12">
        <f>G167*0.0775*13</f>
        <v>420.12750000000005</v>
      </c>
      <c r="Q167" s="9">
        <f>P167/13</f>
        <v>32.317500000000003</v>
      </c>
      <c r="R167" s="12"/>
      <c r="S167" s="12"/>
      <c r="T167" s="12"/>
      <c r="U167" s="12">
        <f t="shared" si="108"/>
        <v>406.57499999999999</v>
      </c>
      <c r="V167" s="12">
        <f t="shared" si="104"/>
        <v>31.274999999999999</v>
      </c>
      <c r="W167" s="12"/>
      <c r="X167" s="12"/>
      <c r="Y167" s="12">
        <f>P167+S167+U167+W167+0.01</f>
        <v>826.71250000000009</v>
      </c>
      <c r="Z167" s="12">
        <f t="shared" si="109"/>
        <v>54.21</v>
      </c>
      <c r="AA167" s="12">
        <f t="shared" si="106"/>
        <v>4.17</v>
      </c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1:43" ht="19.5">
      <c r="A168" s="21">
        <f t="shared" si="110"/>
        <v>121</v>
      </c>
      <c r="B168" s="125"/>
      <c r="C168" s="108" t="s">
        <v>335</v>
      </c>
      <c r="D168" s="107" t="s">
        <v>324</v>
      </c>
      <c r="E168" s="84" t="s">
        <v>79</v>
      </c>
      <c r="F168" s="85" t="s">
        <v>306</v>
      </c>
      <c r="G168" s="26">
        <f>570+30+50</f>
        <v>650</v>
      </c>
      <c r="H168" s="32">
        <f t="shared" si="102"/>
        <v>7800</v>
      </c>
      <c r="I168" s="32">
        <v>60</v>
      </c>
      <c r="J168" s="32"/>
      <c r="K168" s="32">
        <f t="shared" si="103"/>
        <v>650</v>
      </c>
      <c r="L168" s="32">
        <v>300</v>
      </c>
      <c r="M168" s="12"/>
      <c r="N168" s="24">
        <v>125</v>
      </c>
      <c r="O168" s="24"/>
      <c r="P168" s="12">
        <f>G168*0.0775*13</f>
        <v>654.875</v>
      </c>
      <c r="Q168" s="9">
        <f>P168/13</f>
        <v>50.375</v>
      </c>
      <c r="R168" s="12"/>
      <c r="S168" s="12"/>
      <c r="T168" s="12"/>
      <c r="U168" s="12">
        <f t="shared" si="108"/>
        <v>633.75</v>
      </c>
      <c r="V168" s="12">
        <f t="shared" si="104"/>
        <v>48.75</v>
      </c>
      <c r="W168" s="12"/>
      <c r="X168" s="12"/>
      <c r="Y168" s="12">
        <f t="shared" si="105"/>
        <v>1288.625</v>
      </c>
      <c r="Z168" s="12">
        <f t="shared" si="109"/>
        <v>84.5</v>
      </c>
      <c r="AA168" s="12">
        <f t="shared" si="106"/>
        <v>6.5</v>
      </c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1:43">
      <c r="A169" s="49"/>
      <c r="B169" s="15"/>
      <c r="C169" s="86" t="s">
        <v>337</v>
      </c>
      <c r="D169" s="100"/>
      <c r="E169" s="84"/>
      <c r="F169" s="85"/>
      <c r="G169" s="87">
        <f>SUM(G159:G168)</f>
        <v>7455.58</v>
      </c>
      <c r="H169" s="30">
        <f>SUM(H159:H168)</f>
        <v>89466.959999999992</v>
      </c>
      <c r="I169" s="30">
        <f>SUM(I159:I168)</f>
        <v>600</v>
      </c>
      <c r="J169" s="30">
        <f>SUM(J160:J168)</f>
        <v>0</v>
      </c>
      <c r="K169" s="30">
        <f>SUM(K159:K168)</f>
        <v>7455.58</v>
      </c>
      <c r="L169" s="30">
        <f>SUM(L159:L168)</f>
        <v>3000</v>
      </c>
      <c r="M169" s="20">
        <f>SUM(M160:M168)</f>
        <v>0</v>
      </c>
      <c r="N169" s="20">
        <f>SUM(N159:N168)</f>
        <v>1250</v>
      </c>
      <c r="O169" s="20">
        <f>SUM(O160:O168)</f>
        <v>0</v>
      </c>
      <c r="P169" s="20">
        <f>SUM(P159:P168)+0.01</f>
        <v>5466.5639499999997</v>
      </c>
      <c r="Q169" s="20">
        <f>SUM(Q159:Q168)+0.01</f>
        <v>237.07164999999998</v>
      </c>
      <c r="R169" s="20">
        <f>SUM(R159:R168)</f>
        <v>183.4425</v>
      </c>
      <c r="S169" s="20">
        <f>SUM(S159:S168)</f>
        <v>630.82499999999993</v>
      </c>
      <c r="T169" s="20">
        <f>SUM(T159:T168)</f>
        <v>52.568749999999994</v>
      </c>
      <c r="U169" s="20">
        <f>SUM(U159:U168)+0.02</f>
        <v>6976.8469999999998</v>
      </c>
      <c r="V169" s="20">
        <f>SUM(V159:V168)+0.02</f>
        <v>536.69899999999984</v>
      </c>
      <c r="W169" s="20">
        <f>SUM(W159:W168)</f>
        <v>1078.5216</v>
      </c>
      <c r="X169" s="20">
        <f>SUM(X159:X168)</f>
        <v>89.876800000000003</v>
      </c>
      <c r="Y169" s="20">
        <f>SUM(Y159:Y168)+0.02</f>
        <v>14152.767549999999</v>
      </c>
      <c r="Z169" s="20">
        <f>SUM(Z159:Z168)</f>
        <v>930.24360000000013</v>
      </c>
      <c r="AA169" s="20">
        <f>SUM(AA159:AA168)</f>
        <v>71.557200000000009</v>
      </c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</row>
    <row r="170" spans="1:43">
      <c r="A170" s="21">
        <f>A168+1</f>
        <v>122</v>
      </c>
      <c r="B170" s="58" t="s">
        <v>338</v>
      </c>
      <c r="C170" s="56" t="s">
        <v>339</v>
      </c>
      <c r="D170" s="83" t="s">
        <v>340</v>
      </c>
      <c r="E170" s="84" t="s">
        <v>79</v>
      </c>
      <c r="F170" s="85" t="s">
        <v>306</v>
      </c>
      <c r="G170" s="26">
        <v>1000</v>
      </c>
      <c r="H170" s="32">
        <f>G170*12</f>
        <v>12000</v>
      </c>
      <c r="I170" s="32">
        <v>60</v>
      </c>
      <c r="J170" s="36"/>
      <c r="K170" s="32">
        <f>G170</f>
        <v>1000</v>
      </c>
      <c r="L170" s="32">
        <v>300</v>
      </c>
      <c r="M170" s="37"/>
      <c r="N170" s="24">
        <v>125</v>
      </c>
      <c r="O170" s="24"/>
      <c r="P170" s="12">
        <f>G170*0.0775*13</f>
        <v>1007.5</v>
      </c>
      <c r="Q170" s="40"/>
      <c r="R170" s="12">
        <f>P170/13</f>
        <v>77.5</v>
      </c>
      <c r="S170" s="12"/>
      <c r="T170" s="12"/>
      <c r="U170" s="12">
        <f>G170*0.075*13</f>
        <v>975</v>
      </c>
      <c r="V170" s="12">
        <f>U170/13</f>
        <v>75</v>
      </c>
      <c r="W170" s="12"/>
      <c r="X170" s="12"/>
      <c r="Y170" s="12">
        <f>P170+S170+U170+W170</f>
        <v>1982.5</v>
      </c>
      <c r="Z170" s="12">
        <f>G170*0.01*13</f>
        <v>130</v>
      </c>
      <c r="AA170" s="12">
        <f>Z170/13</f>
        <v>10</v>
      </c>
      <c r="AB170" s="38"/>
      <c r="AC170" s="38"/>
      <c r="AD170" s="38"/>
      <c r="AE170" s="38"/>
      <c r="AF170" s="37"/>
      <c r="AG170" s="38"/>
      <c r="AH170" s="37"/>
      <c r="AI170" s="12"/>
      <c r="AJ170" s="38"/>
      <c r="AK170" s="38"/>
      <c r="AL170" s="38"/>
      <c r="AM170" s="12"/>
      <c r="AN170" s="12"/>
      <c r="AO170" s="12"/>
      <c r="AP170" s="38"/>
      <c r="AQ170" s="37"/>
    </row>
    <row r="171" spans="1:43">
      <c r="A171" s="55">
        <f>A170+1</f>
        <v>123</v>
      </c>
      <c r="B171" s="27" t="s">
        <v>341</v>
      </c>
      <c r="C171" s="56" t="s">
        <v>342</v>
      </c>
      <c r="D171" s="83" t="s">
        <v>340</v>
      </c>
      <c r="E171" s="84" t="s">
        <v>79</v>
      </c>
      <c r="F171" s="85" t="s">
        <v>306</v>
      </c>
      <c r="G171" s="26">
        <f>845+30+50</f>
        <v>925</v>
      </c>
      <c r="H171" s="32">
        <f>G171*12</f>
        <v>11100</v>
      </c>
      <c r="I171" s="32">
        <v>60</v>
      </c>
      <c r="J171" s="36"/>
      <c r="K171" s="32">
        <f>G171</f>
        <v>925</v>
      </c>
      <c r="L171" s="32">
        <v>300</v>
      </c>
      <c r="M171" s="37"/>
      <c r="N171" s="24">
        <v>125</v>
      </c>
      <c r="O171" s="24"/>
      <c r="P171" s="12">
        <f>G171*0.0775*13</f>
        <v>931.9375</v>
      </c>
      <c r="Q171" s="40"/>
      <c r="R171" s="12">
        <f>P171/13</f>
        <v>71.6875</v>
      </c>
      <c r="S171" s="12"/>
      <c r="T171" s="12"/>
      <c r="U171" s="12">
        <f>G171*0.075*13</f>
        <v>901.875</v>
      </c>
      <c r="V171" s="12">
        <f>U171/13</f>
        <v>69.375</v>
      </c>
      <c r="W171" s="12"/>
      <c r="X171" s="12"/>
      <c r="Y171" s="12">
        <f>P171+S171+U171+W171+0.01</f>
        <v>1833.8225</v>
      </c>
      <c r="Z171" s="12">
        <f>G171*0.01*13</f>
        <v>120.25</v>
      </c>
      <c r="AA171" s="12">
        <f>Z171/13</f>
        <v>9.25</v>
      </c>
      <c r="AB171" s="38"/>
      <c r="AC171" s="38"/>
      <c r="AD171" s="38"/>
      <c r="AE171" s="38"/>
      <c r="AF171" s="37"/>
      <c r="AG171" s="38"/>
      <c r="AH171" s="37"/>
      <c r="AI171" s="12"/>
      <c r="AJ171" s="38"/>
      <c r="AK171" s="38"/>
      <c r="AL171" s="38"/>
      <c r="AM171" s="12"/>
      <c r="AN171" s="12"/>
      <c r="AO171" s="12"/>
      <c r="AP171" s="38"/>
      <c r="AQ171" s="37"/>
    </row>
    <row r="172" spans="1:43">
      <c r="A172" s="55">
        <f>A171+1</f>
        <v>124</v>
      </c>
      <c r="B172" s="27" t="s">
        <v>343</v>
      </c>
      <c r="C172" s="51" t="s">
        <v>344</v>
      </c>
      <c r="D172" s="83" t="s">
        <v>340</v>
      </c>
      <c r="E172" s="84" t="s">
        <v>79</v>
      </c>
      <c r="F172" s="85" t="s">
        <v>306</v>
      </c>
      <c r="G172" s="26">
        <v>497</v>
      </c>
      <c r="H172" s="32">
        <f>G172*12</f>
        <v>5964</v>
      </c>
      <c r="I172" s="32">
        <v>60</v>
      </c>
      <c r="J172" s="36"/>
      <c r="K172" s="32">
        <f>G172</f>
        <v>497</v>
      </c>
      <c r="L172" s="32">
        <v>300</v>
      </c>
      <c r="M172" s="37"/>
      <c r="N172" s="24">
        <v>125</v>
      </c>
      <c r="O172" s="24"/>
      <c r="P172" s="12">
        <f>G172*0.0775*13</f>
        <v>500.72749999999996</v>
      </c>
      <c r="Q172" s="12"/>
      <c r="R172" s="12">
        <f>P172/13</f>
        <v>38.517499999999998</v>
      </c>
      <c r="S172" s="12"/>
      <c r="T172" s="12"/>
      <c r="U172" s="12">
        <f>G172*0.075*13</f>
        <v>484.57499999999999</v>
      </c>
      <c r="V172" s="12">
        <f>U172/13</f>
        <v>37.274999999999999</v>
      </c>
      <c r="W172" s="12"/>
      <c r="X172" s="12"/>
      <c r="Y172" s="12">
        <f>P172+S172+U172+W172+0.01</f>
        <v>985.3125</v>
      </c>
      <c r="Z172" s="12">
        <f>G172*0.01*13</f>
        <v>64.61</v>
      </c>
      <c r="AA172" s="12">
        <f>Z172/13</f>
        <v>4.97</v>
      </c>
      <c r="AB172" s="38"/>
      <c r="AC172" s="38"/>
      <c r="AD172" s="38"/>
      <c r="AE172" s="38"/>
      <c r="AF172" s="37"/>
      <c r="AG172" s="38"/>
      <c r="AH172" s="37"/>
      <c r="AI172" s="12"/>
      <c r="AJ172" s="38"/>
      <c r="AK172" s="38"/>
      <c r="AL172" s="38"/>
      <c r="AM172" s="12"/>
      <c r="AN172" s="12"/>
      <c r="AO172" s="12"/>
      <c r="AP172" s="38"/>
      <c r="AQ172" s="37"/>
    </row>
    <row r="173" spans="1:43">
      <c r="A173" s="55">
        <f t="shared" ref="A173" si="111">A172+1</f>
        <v>125</v>
      </c>
      <c r="B173" s="27" t="s">
        <v>345</v>
      </c>
      <c r="C173" s="51" t="s">
        <v>344</v>
      </c>
      <c r="D173" s="83" t="s">
        <v>340</v>
      </c>
      <c r="E173" s="84" t="s">
        <v>79</v>
      </c>
      <c r="F173" s="85" t="s">
        <v>306</v>
      </c>
      <c r="G173" s="26">
        <f>417+50</f>
        <v>467</v>
      </c>
      <c r="H173" s="32">
        <f>G173*12</f>
        <v>5604</v>
      </c>
      <c r="I173" s="32">
        <v>60</v>
      </c>
      <c r="J173" s="36"/>
      <c r="K173" s="32">
        <f>G173</f>
        <v>467</v>
      </c>
      <c r="L173" s="32">
        <v>300</v>
      </c>
      <c r="M173" s="37"/>
      <c r="N173" s="24">
        <v>125</v>
      </c>
      <c r="O173" s="24"/>
      <c r="P173" s="12">
        <f>G173*0.0775*13</f>
        <v>470.50250000000005</v>
      </c>
      <c r="Q173" s="12"/>
      <c r="R173" s="12">
        <f>P173/13</f>
        <v>36.192500000000003</v>
      </c>
      <c r="S173" s="12"/>
      <c r="T173" s="12"/>
      <c r="U173" s="12">
        <f>G173*0.075*13</f>
        <v>455.32499999999999</v>
      </c>
      <c r="V173" s="12">
        <f>U173/13</f>
        <v>35.024999999999999</v>
      </c>
      <c r="W173" s="12"/>
      <c r="X173" s="12"/>
      <c r="Y173" s="12">
        <f>P173+S173+U173+W173</f>
        <v>925.8275000000001</v>
      </c>
      <c r="Z173" s="12">
        <f>G173*0.01*13</f>
        <v>60.71</v>
      </c>
      <c r="AA173" s="12">
        <f>Z173/13</f>
        <v>4.67</v>
      </c>
      <c r="AB173" s="38"/>
      <c r="AC173" s="38"/>
      <c r="AD173" s="38"/>
      <c r="AE173" s="38"/>
      <c r="AF173" s="37"/>
      <c r="AG173" s="38"/>
      <c r="AH173" s="37"/>
      <c r="AI173" s="12"/>
      <c r="AJ173" s="38"/>
      <c r="AK173" s="38"/>
      <c r="AL173" s="38"/>
      <c r="AM173" s="12"/>
      <c r="AN173" s="12"/>
      <c r="AO173" s="12"/>
      <c r="AP173" s="38"/>
      <c r="AQ173" s="37"/>
    </row>
    <row r="174" spans="1:43">
      <c r="A174" s="21"/>
      <c r="B174" s="58"/>
      <c r="C174" s="86" t="s">
        <v>346</v>
      </c>
      <c r="D174" s="83"/>
      <c r="E174" s="84"/>
      <c r="F174" s="85"/>
      <c r="G174" s="87">
        <f t="shared" ref="G174:T174" si="112">SUM(G170:G173)</f>
        <v>2889</v>
      </c>
      <c r="H174" s="30">
        <f t="shared" si="112"/>
        <v>34668</v>
      </c>
      <c r="I174" s="30">
        <f t="shared" si="112"/>
        <v>240</v>
      </c>
      <c r="J174" s="30">
        <f t="shared" si="112"/>
        <v>0</v>
      </c>
      <c r="K174" s="30">
        <f t="shared" si="112"/>
        <v>2889</v>
      </c>
      <c r="L174" s="30">
        <f t="shared" si="112"/>
        <v>1200</v>
      </c>
      <c r="M174" s="20">
        <f t="shared" si="112"/>
        <v>0</v>
      </c>
      <c r="N174" s="20">
        <f t="shared" si="112"/>
        <v>500</v>
      </c>
      <c r="O174" s="20">
        <f t="shared" si="112"/>
        <v>0</v>
      </c>
      <c r="P174" s="20">
        <f t="shared" si="112"/>
        <v>2910.6675</v>
      </c>
      <c r="Q174" s="20">
        <f t="shared" si="112"/>
        <v>0</v>
      </c>
      <c r="R174" s="20">
        <f t="shared" si="112"/>
        <v>223.89749999999998</v>
      </c>
      <c r="S174" s="20">
        <f t="shared" si="112"/>
        <v>0</v>
      </c>
      <c r="T174" s="20">
        <f t="shared" si="112"/>
        <v>0</v>
      </c>
      <c r="U174" s="20">
        <f>SUM(U170:U173)+0.01</f>
        <v>2816.7849999999999</v>
      </c>
      <c r="V174" s="20">
        <f>SUM(V170:V173)+0.01</f>
        <v>216.685</v>
      </c>
      <c r="W174" s="20">
        <f>SUM(W170:W173)</f>
        <v>0</v>
      </c>
      <c r="X174" s="20">
        <f>SUM(X170:X173)</f>
        <v>0</v>
      </c>
      <c r="Y174" s="20">
        <f>SUM(Y170:Y173)</f>
        <v>5727.4625000000005</v>
      </c>
      <c r="Z174" s="20">
        <f>SUM(Z170:Z173)</f>
        <v>375.57</v>
      </c>
      <c r="AA174" s="20">
        <f>SUM(AA170:AA173)</f>
        <v>28.89</v>
      </c>
      <c r="AB174" s="38"/>
      <c r="AC174" s="38"/>
      <c r="AD174" s="38"/>
      <c r="AE174" s="38"/>
      <c r="AF174" s="37"/>
      <c r="AG174" s="38"/>
      <c r="AH174" s="37"/>
      <c r="AI174" s="12"/>
      <c r="AJ174" s="38"/>
      <c r="AK174" s="38"/>
      <c r="AL174" s="38"/>
      <c r="AM174" s="12"/>
      <c r="AN174" s="12"/>
      <c r="AO174" s="12"/>
      <c r="AP174" s="38"/>
      <c r="AQ174" s="37"/>
    </row>
    <row r="175" spans="1:43">
      <c r="A175" s="21"/>
      <c r="B175" s="15"/>
      <c r="C175" s="408" t="s">
        <v>347</v>
      </c>
      <c r="D175" s="409"/>
      <c r="E175" s="103"/>
      <c r="F175" s="101"/>
      <c r="G175" s="87">
        <f t="shared" ref="G175:O175" si="113">SUM(G169,G158,G174)</f>
        <v>15801.58</v>
      </c>
      <c r="H175" s="30">
        <f t="shared" si="113"/>
        <v>189618.96</v>
      </c>
      <c r="I175" s="30">
        <f t="shared" si="113"/>
        <v>1380</v>
      </c>
      <c r="J175" s="30">
        <f t="shared" si="113"/>
        <v>0</v>
      </c>
      <c r="K175" s="30">
        <f t="shared" si="113"/>
        <v>15801.58</v>
      </c>
      <c r="L175" s="30">
        <f t="shared" si="113"/>
        <v>6900</v>
      </c>
      <c r="M175" s="20">
        <f t="shared" si="113"/>
        <v>0</v>
      </c>
      <c r="N175" s="20">
        <f t="shared" si="113"/>
        <v>2875</v>
      </c>
      <c r="O175" s="20">
        <f t="shared" si="113"/>
        <v>0</v>
      </c>
      <c r="P175" s="20">
        <f>SUM(P169,P158,P174)+0.01</f>
        <v>13223.336449999999</v>
      </c>
      <c r="Q175" s="20">
        <f>SUM(Q169,Q158,Q174)</f>
        <v>375.72068846153843</v>
      </c>
      <c r="R175" s="20">
        <f>SUM(R169,R158,R174)+0.01</f>
        <v>641.47749999999996</v>
      </c>
      <c r="S175" s="20">
        <f t="shared" ref="S175:AA175" si="114">SUM(S169,S158,S174)</f>
        <v>630.82499999999993</v>
      </c>
      <c r="T175" s="20">
        <f t="shared" si="114"/>
        <v>52.568749999999994</v>
      </c>
      <c r="U175" s="20">
        <f>SUM(U169,U158,U174)+0.01</f>
        <v>15114.246999999998</v>
      </c>
      <c r="V175" s="20">
        <f t="shared" si="114"/>
        <v>1162.6889999999996</v>
      </c>
      <c r="W175" s="20">
        <f t="shared" si="114"/>
        <v>1583.1816000000001</v>
      </c>
      <c r="X175" s="20">
        <f t="shared" si="114"/>
        <v>123.89680000000001</v>
      </c>
      <c r="Y175" s="20">
        <f>SUM(Y169,Y158,Y174)-0.01</f>
        <v>30551.590050000003</v>
      </c>
      <c r="Z175" s="20">
        <f t="shared" si="114"/>
        <v>2015.2236</v>
      </c>
      <c r="AA175" s="20">
        <f t="shared" si="114"/>
        <v>155.0172</v>
      </c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</row>
    <row r="176" spans="1:43">
      <c r="A176" s="55">
        <f>A173+1</f>
        <v>126</v>
      </c>
      <c r="B176" s="58" t="s">
        <v>348</v>
      </c>
      <c r="C176" s="51" t="s">
        <v>349</v>
      </c>
      <c r="D176" s="100" t="s">
        <v>350</v>
      </c>
      <c r="E176" s="84" t="s">
        <v>79</v>
      </c>
      <c r="F176" s="85" t="s">
        <v>351</v>
      </c>
      <c r="G176" s="26">
        <v>750</v>
      </c>
      <c r="H176" s="32">
        <f>G176*12</f>
        <v>9000</v>
      </c>
      <c r="I176" s="32">
        <v>60</v>
      </c>
      <c r="J176" s="36"/>
      <c r="K176" s="32">
        <f>G176</f>
        <v>750</v>
      </c>
      <c r="L176" s="32">
        <v>300</v>
      </c>
      <c r="M176" s="37"/>
      <c r="N176" s="24">
        <v>125</v>
      </c>
      <c r="O176" s="24"/>
      <c r="P176" s="12">
        <f>G176*0.0775*13</f>
        <v>755.625</v>
      </c>
      <c r="Q176" s="9"/>
      <c r="R176" s="12">
        <f>P176/13</f>
        <v>58.125</v>
      </c>
      <c r="S176" s="12"/>
      <c r="T176" s="12"/>
      <c r="U176" s="12">
        <f>G176*0.075*13</f>
        <v>731.25</v>
      </c>
      <c r="V176" s="12">
        <f>U176/13</f>
        <v>56.25</v>
      </c>
      <c r="W176" s="12"/>
      <c r="X176" s="12"/>
      <c r="Y176" s="12">
        <f>P176+S176+U176+W176</f>
        <v>1486.875</v>
      </c>
      <c r="Z176" s="12">
        <f>G176*0.01*13</f>
        <v>97.5</v>
      </c>
      <c r="AA176" s="12">
        <f>Z176/13</f>
        <v>7.5</v>
      </c>
      <c r="AB176" s="38"/>
      <c r="AC176" s="38"/>
      <c r="AD176" s="38"/>
      <c r="AE176" s="38"/>
      <c r="AF176" s="37"/>
      <c r="AG176" s="38"/>
      <c r="AH176" s="37"/>
      <c r="AI176" s="12"/>
      <c r="AJ176" s="38"/>
      <c r="AK176" s="38"/>
      <c r="AL176" s="38"/>
      <c r="AM176" s="12"/>
      <c r="AN176" s="12"/>
      <c r="AO176" s="12"/>
      <c r="AP176" s="38"/>
      <c r="AQ176" s="37"/>
    </row>
    <row r="177" spans="1:43">
      <c r="A177" s="49"/>
      <c r="B177" s="15"/>
      <c r="C177" s="86" t="s">
        <v>352</v>
      </c>
      <c r="D177" s="100"/>
      <c r="E177" s="84"/>
      <c r="F177" s="85"/>
      <c r="G177" s="87">
        <f>SUM(G176)</f>
        <v>750</v>
      </c>
      <c r="H177" s="30">
        <f t="shared" ref="H177:AA177" si="115">SUM(H176)</f>
        <v>9000</v>
      </c>
      <c r="I177" s="30">
        <f t="shared" si="115"/>
        <v>60</v>
      </c>
      <c r="J177" s="30">
        <f t="shared" si="115"/>
        <v>0</v>
      </c>
      <c r="K177" s="30">
        <f t="shared" si="115"/>
        <v>750</v>
      </c>
      <c r="L177" s="30">
        <f t="shared" si="115"/>
        <v>300</v>
      </c>
      <c r="M177" s="20">
        <f t="shared" si="115"/>
        <v>0</v>
      </c>
      <c r="N177" s="20">
        <f t="shared" si="115"/>
        <v>125</v>
      </c>
      <c r="O177" s="20">
        <f t="shared" si="115"/>
        <v>0</v>
      </c>
      <c r="P177" s="20">
        <f t="shared" si="115"/>
        <v>755.625</v>
      </c>
      <c r="Q177" s="20">
        <f t="shared" si="115"/>
        <v>0</v>
      </c>
      <c r="R177" s="20">
        <f t="shared" si="115"/>
        <v>58.125</v>
      </c>
      <c r="S177" s="20">
        <f>SUM(S176)</f>
        <v>0</v>
      </c>
      <c r="T177" s="20">
        <f>SUM(T176)</f>
        <v>0</v>
      </c>
      <c r="U177" s="20">
        <f t="shared" si="115"/>
        <v>731.25</v>
      </c>
      <c r="V177" s="20">
        <f t="shared" si="115"/>
        <v>56.25</v>
      </c>
      <c r="W177" s="20">
        <f t="shared" si="115"/>
        <v>0</v>
      </c>
      <c r="X177" s="20">
        <f t="shared" si="115"/>
        <v>0</v>
      </c>
      <c r="Y177" s="20">
        <f t="shared" si="115"/>
        <v>1486.875</v>
      </c>
      <c r="Z177" s="20">
        <f t="shared" si="115"/>
        <v>97.5</v>
      </c>
      <c r="AA177" s="20">
        <f t="shared" si="115"/>
        <v>7.5</v>
      </c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</row>
    <row r="178" spans="1:43">
      <c r="A178" s="55">
        <f>A176+1</f>
        <v>127</v>
      </c>
      <c r="B178" s="110" t="s">
        <v>353</v>
      </c>
      <c r="C178" s="25" t="s">
        <v>354</v>
      </c>
      <c r="D178" s="83" t="s">
        <v>355</v>
      </c>
      <c r="E178" s="84" t="s">
        <v>79</v>
      </c>
      <c r="F178" s="85" t="s">
        <v>351</v>
      </c>
      <c r="G178" s="26">
        <f>650+247</f>
        <v>897</v>
      </c>
      <c r="H178" s="32">
        <f t="shared" ref="H178:H196" si="116">G178*12</f>
        <v>10764</v>
      </c>
      <c r="I178" s="32">
        <v>60</v>
      </c>
      <c r="J178" s="32"/>
      <c r="K178" s="32">
        <f t="shared" ref="K178:K196" si="117">G178</f>
        <v>897</v>
      </c>
      <c r="L178" s="32">
        <v>300</v>
      </c>
      <c r="M178" s="12"/>
      <c r="N178" s="24">
        <v>125</v>
      </c>
      <c r="O178" s="24"/>
      <c r="P178" s="12">
        <f>G178*0.0775*13</f>
        <v>903.72749999999996</v>
      </c>
      <c r="Q178" s="9"/>
      <c r="R178" s="12">
        <f>P178/13</f>
        <v>69.517499999999998</v>
      </c>
      <c r="S178" s="12"/>
      <c r="T178" s="12"/>
      <c r="U178" s="12">
        <f t="shared" ref="U178:U196" si="118">G178*0.075*13</f>
        <v>874.57499999999993</v>
      </c>
      <c r="V178" s="12">
        <f>U178/13</f>
        <v>67.274999999999991</v>
      </c>
      <c r="W178" s="12"/>
      <c r="X178" s="12"/>
      <c r="Y178" s="12">
        <f>P178+S178+U178+W178+0.01</f>
        <v>1778.3124999999998</v>
      </c>
      <c r="Z178" s="12">
        <f t="shared" ref="Z178:Z196" si="119">G178*0.01*13</f>
        <v>116.61000000000001</v>
      </c>
      <c r="AA178" s="12">
        <f>Z178/13</f>
        <v>8.9700000000000006</v>
      </c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1:43">
      <c r="A179" s="21">
        <f>A178+1</f>
        <v>128</v>
      </c>
      <c r="B179" s="27" t="s">
        <v>356</v>
      </c>
      <c r="C179" s="25" t="s">
        <v>342</v>
      </c>
      <c r="D179" s="83" t="s">
        <v>355</v>
      </c>
      <c r="E179" s="84" t="s">
        <v>79</v>
      </c>
      <c r="F179" s="85" t="s">
        <v>351</v>
      </c>
      <c r="G179" s="26">
        <f>650+247</f>
        <v>897</v>
      </c>
      <c r="H179" s="32">
        <f t="shared" si="116"/>
        <v>10764</v>
      </c>
      <c r="I179" s="32">
        <v>60</v>
      </c>
      <c r="J179" s="32"/>
      <c r="K179" s="32">
        <f t="shared" si="117"/>
        <v>897</v>
      </c>
      <c r="L179" s="32">
        <v>300</v>
      </c>
      <c r="M179" s="12"/>
      <c r="N179" s="24">
        <v>125</v>
      </c>
      <c r="O179" s="24"/>
      <c r="P179" s="12">
        <f>G179*0.0775*13</f>
        <v>903.72749999999996</v>
      </c>
      <c r="Q179" s="9"/>
      <c r="R179" s="12">
        <f>P179/13</f>
        <v>69.517499999999998</v>
      </c>
      <c r="S179" s="12"/>
      <c r="T179" s="12"/>
      <c r="U179" s="12">
        <f t="shared" si="118"/>
        <v>874.57499999999993</v>
      </c>
      <c r="V179" s="12">
        <f>U179/13</f>
        <v>67.274999999999991</v>
      </c>
      <c r="W179" s="12"/>
      <c r="X179" s="12"/>
      <c r="Y179" s="12">
        <f>P179+S179+U179+W179+0.01</f>
        <v>1778.3124999999998</v>
      </c>
      <c r="Z179" s="12">
        <f t="shared" si="119"/>
        <v>116.61000000000001</v>
      </c>
      <c r="AA179" s="12">
        <f>Z179/13</f>
        <v>8.9700000000000006</v>
      </c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1:43">
      <c r="A180" s="21">
        <f t="shared" ref="A180:A185" si="120">A179+1</f>
        <v>129</v>
      </c>
      <c r="B180" s="42" t="s">
        <v>357</v>
      </c>
      <c r="C180" s="59" t="s">
        <v>358</v>
      </c>
      <c r="D180" s="83" t="s">
        <v>355</v>
      </c>
      <c r="E180" s="84" t="s">
        <v>79</v>
      </c>
      <c r="F180" s="85" t="s">
        <v>351</v>
      </c>
      <c r="G180" s="26">
        <f>417+50</f>
        <v>467</v>
      </c>
      <c r="H180" s="32">
        <f>G180*12</f>
        <v>5604</v>
      </c>
      <c r="I180" s="32">
        <v>60</v>
      </c>
      <c r="J180" s="36"/>
      <c r="K180" s="32">
        <f>G180</f>
        <v>467</v>
      </c>
      <c r="L180" s="32">
        <v>300</v>
      </c>
      <c r="M180" s="37"/>
      <c r="N180" s="24">
        <v>125</v>
      </c>
      <c r="O180" s="24"/>
      <c r="P180" s="12">
        <f>G180*0.0775*13</f>
        <v>470.50250000000005</v>
      </c>
      <c r="Q180" s="9">
        <f>P180/13</f>
        <v>36.192500000000003</v>
      </c>
      <c r="R180" s="12"/>
      <c r="S180" s="37"/>
      <c r="T180" s="37"/>
      <c r="U180" s="12">
        <f>G180*0.075*13</f>
        <v>455.32499999999999</v>
      </c>
      <c r="V180" s="12">
        <f>U180/13</f>
        <v>35.024999999999999</v>
      </c>
      <c r="W180" s="37"/>
      <c r="X180" s="37"/>
      <c r="Y180" s="12">
        <f>P180+S180+U180+W180</f>
        <v>925.8275000000001</v>
      </c>
      <c r="Z180" s="12">
        <f>G180*0.01*13</f>
        <v>60.71</v>
      </c>
      <c r="AA180" s="12">
        <f>Z180/13</f>
        <v>4.67</v>
      </c>
      <c r="AB180" s="38"/>
      <c r="AC180" s="38"/>
      <c r="AD180" s="38"/>
      <c r="AE180" s="38"/>
      <c r="AF180" s="37"/>
      <c r="AG180" s="38"/>
      <c r="AH180" s="37"/>
      <c r="AI180" s="12"/>
      <c r="AJ180" s="38"/>
      <c r="AK180" s="38"/>
      <c r="AL180" s="38"/>
      <c r="AM180" s="12"/>
      <c r="AN180" s="12"/>
      <c r="AO180" s="12"/>
      <c r="AP180" s="38"/>
      <c r="AQ180" s="37"/>
    </row>
    <row r="181" spans="1:43">
      <c r="A181" s="21">
        <f t="shared" si="120"/>
        <v>130</v>
      </c>
      <c r="B181" s="27" t="s">
        <v>359</v>
      </c>
      <c r="C181" s="25" t="s">
        <v>360</v>
      </c>
      <c r="D181" s="83" t="s">
        <v>355</v>
      </c>
      <c r="E181" s="84" t="s">
        <v>79</v>
      </c>
      <c r="F181" s="85" t="s">
        <v>351</v>
      </c>
      <c r="G181" s="26">
        <f>417+50</f>
        <v>467</v>
      </c>
      <c r="H181" s="32">
        <f t="shared" si="116"/>
        <v>5604</v>
      </c>
      <c r="I181" s="32">
        <v>60</v>
      </c>
      <c r="J181" s="36"/>
      <c r="K181" s="32">
        <f t="shared" si="117"/>
        <v>467</v>
      </c>
      <c r="L181" s="32">
        <v>300</v>
      </c>
      <c r="M181" s="37"/>
      <c r="N181" s="24">
        <v>125</v>
      </c>
      <c r="O181" s="24"/>
      <c r="P181" s="12">
        <f t="shared" ref="P181:P196" si="121">G181*0.0775*13</f>
        <v>470.50250000000005</v>
      </c>
      <c r="Q181" s="40"/>
      <c r="R181" s="12">
        <f>P181/13</f>
        <v>36.192500000000003</v>
      </c>
      <c r="S181" s="12"/>
      <c r="T181" s="12"/>
      <c r="U181" s="12">
        <f t="shared" si="118"/>
        <v>455.32499999999999</v>
      </c>
      <c r="V181" s="12">
        <f t="shared" ref="V181:V196" si="122">U181/13</f>
        <v>35.024999999999999</v>
      </c>
      <c r="W181" s="12"/>
      <c r="X181" s="12"/>
      <c r="Y181" s="12">
        <f>P181+S181+U181+W181</f>
        <v>925.8275000000001</v>
      </c>
      <c r="Z181" s="12">
        <f t="shared" si="119"/>
        <v>60.71</v>
      </c>
      <c r="AA181" s="12">
        <f t="shared" ref="AA181:AA196" si="123">Z181/13</f>
        <v>4.67</v>
      </c>
      <c r="AB181" s="38"/>
      <c r="AC181" s="38"/>
      <c r="AD181" s="38"/>
      <c r="AE181" s="38"/>
      <c r="AF181" s="37"/>
      <c r="AG181" s="38"/>
      <c r="AH181" s="37"/>
      <c r="AI181" s="12"/>
      <c r="AJ181" s="38"/>
      <c r="AK181" s="38"/>
      <c r="AL181" s="38"/>
      <c r="AM181" s="12"/>
      <c r="AN181" s="12"/>
      <c r="AO181" s="12"/>
      <c r="AP181" s="38"/>
      <c r="AQ181" s="37"/>
    </row>
    <row r="182" spans="1:43">
      <c r="A182" s="21">
        <f t="shared" si="120"/>
        <v>131</v>
      </c>
      <c r="B182" s="27" t="s">
        <v>361</v>
      </c>
      <c r="C182" s="25" t="s">
        <v>362</v>
      </c>
      <c r="D182" s="83" t="s">
        <v>355</v>
      </c>
      <c r="E182" s="84" t="s">
        <v>79</v>
      </c>
      <c r="F182" s="85" t="s">
        <v>351</v>
      </c>
      <c r="G182" s="26">
        <f>627+50</f>
        <v>677</v>
      </c>
      <c r="H182" s="32">
        <f t="shared" si="116"/>
        <v>8124</v>
      </c>
      <c r="I182" s="32">
        <v>60</v>
      </c>
      <c r="J182" s="32"/>
      <c r="K182" s="32">
        <f t="shared" si="117"/>
        <v>677</v>
      </c>
      <c r="L182" s="32">
        <v>300</v>
      </c>
      <c r="M182" s="12"/>
      <c r="N182" s="24">
        <v>125</v>
      </c>
      <c r="O182" s="24"/>
      <c r="P182" s="12">
        <f>G182*0.0775*13</f>
        <v>682.07749999999999</v>
      </c>
      <c r="Q182" s="26">
        <f>P182/13</f>
        <v>52.467500000000001</v>
      </c>
      <c r="R182" s="12"/>
      <c r="S182" s="12"/>
      <c r="T182" s="12"/>
      <c r="U182" s="12">
        <f t="shared" si="118"/>
        <v>660.07499999999993</v>
      </c>
      <c r="V182" s="12">
        <f>U182/13</f>
        <v>50.774999999999991</v>
      </c>
      <c r="W182" s="12"/>
      <c r="X182" s="12"/>
      <c r="Y182" s="12">
        <f>P182+S182+U182+W182+0.01</f>
        <v>1342.1624999999999</v>
      </c>
      <c r="Z182" s="12">
        <f t="shared" si="119"/>
        <v>88.01</v>
      </c>
      <c r="AA182" s="12">
        <f>Z182/13</f>
        <v>6.7700000000000005</v>
      </c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1:43">
      <c r="A183" s="21">
        <f t="shared" si="120"/>
        <v>132</v>
      </c>
      <c r="B183" s="27" t="s">
        <v>363</v>
      </c>
      <c r="C183" s="51" t="s">
        <v>364</v>
      </c>
      <c r="D183" s="83" t="s">
        <v>355</v>
      </c>
      <c r="E183" s="84" t="s">
        <v>79</v>
      </c>
      <c r="F183" s="85" t="s">
        <v>351</v>
      </c>
      <c r="G183" s="26">
        <v>500</v>
      </c>
      <c r="H183" s="32">
        <f t="shared" si="116"/>
        <v>6000</v>
      </c>
      <c r="I183" s="32">
        <v>60</v>
      </c>
      <c r="J183" s="32"/>
      <c r="K183" s="32">
        <f t="shared" si="117"/>
        <v>500</v>
      </c>
      <c r="L183" s="32">
        <v>300</v>
      </c>
      <c r="M183" s="12"/>
      <c r="N183" s="24">
        <v>125</v>
      </c>
      <c r="O183" s="24"/>
      <c r="P183" s="12">
        <f>G183*0.0775*13</f>
        <v>503.75</v>
      </c>
      <c r="Q183" s="26"/>
      <c r="R183" s="12">
        <f>P183/13</f>
        <v>38.75</v>
      </c>
      <c r="S183" s="12"/>
      <c r="T183" s="12"/>
      <c r="U183" s="12">
        <f t="shared" si="118"/>
        <v>487.5</v>
      </c>
      <c r="V183" s="12">
        <f>U183/13</f>
        <v>37.5</v>
      </c>
      <c r="W183" s="12"/>
      <c r="X183" s="12"/>
      <c r="Y183" s="12">
        <f>P183+S183+U183+W183</f>
        <v>991.25</v>
      </c>
      <c r="Z183" s="12">
        <f t="shared" si="119"/>
        <v>65</v>
      </c>
      <c r="AA183" s="12">
        <f>Z183/13</f>
        <v>5</v>
      </c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1:43">
      <c r="A184" s="21">
        <f t="shared" si="120"/>
        <v>133</v>
      </c>
      <c r="B184" s="27" t="s">
        <v>365</v>
      </c>
      <c r="C184" s="25" t="s">
        <v>366</v>
      </c>
      <c r="D184" s="83" t="s">
        <v>355</v>
      </c>
      <c r="E184" s="84" t="s">
        <v>79</v>
      </c>
      <c r="F184" s="85" t="s">
        <v>351</v>
      </c>
      <c r="G184" s="26">
        <f>547+30+50</f>
        <v>627</v>
      </c>
      <c r="H184" s="32">
        <f>G184*12</f>
        <v>7524</v>
      </c>
      <c r="I184" s="32">
        <v>60</v>
      </c>
      <c r="J184" s="36"/>
      <c r="K184" s="32">
        <f>G184</f>
        <v>627</v>
      </c>
      <c r="L184" s="32">
        <v>300</v>
      </c>
      <c r="M184" s="37"/>
      <c r="N184" s="24">
        <v>125</v>
      </c>
      <c r="O184" s="24"/>
      <c r="P184" s="12">
        <f>G184*0.0775*13</f>
        <v>631.70249999999999</v>
      </c>
      <c r="Q184" s="40"/>
      <c r="R184" s="12">
        <f>P184/13</f>
        <v>48.592500000000001</v>
      </c>
      <c r="S184" s="12"/>
      <c r="T184" s="12"/>
      <c r="U184" s="12">
        <f>G184*0.075*13</f>
        <v>611.32499999999993</v>
      </c>
      <c r="V184" s="12">
        <f>U184/13</f>
        <v>47.024999999999991</v>
      </c>
      <c r="W184" s="12"/>
      <c r="X184" s="12"/>
      <c r="Y184" s="12">
        <f>P184+S184+U184+W184</f>
        <v>1243.0274999999999</v>
      </c>
      <c r="Z184" s="12">
        <f>G184*0.01*13</f>
        <v>81.510000000000005</v>
      </c>
      <c r="AA184" s="12">
        <f>Z184/13</f>
        <v>6.2700000000000005</v>
      </c>
      <c r="AB184" s="38"/>
      <c r="AC184" s="38"/>
      <c r="AD184" s="38"/>
      <c r="AE184" s="38"/>
      <c r="AF184" s="37"/>
      <c r="AG184" s="38"/>
      <c r="AH184" s="37"/>
      <c r="AI184" s="12"/>
      <c r="AJ184" s="38"/>
      <c r="AK184" s="38"/>
      <c r="AL184" s="38"/>
      <c r="AM184" s="12"/>
      <c r="AN184" s="12"/>
      <c r="AO184" s="12"/>
      <c r="AP184" s="38"/>
      <c r="AQ184" s="37"/>
    </row>
    <row r="185" spans="1:43">
      <c r="A185" s="21">
        <f t="shared" si="120"/>
        <v>134</v>
      </c>
      <c r="B185" s="27" t="s">
        <v>367</v>
      </c>
      <c r="C185" s="25" t="s">
        <v>368</v>
      </c>
      <c r="D185" s="83" t="s">
        <v>355</v>
      </c>
      <c r="E185" s="84" t="s">
        <v>79</v>
      </c>
      <c r="F185" s="85" t="s">
        <v>351</v>
      </c>
      <c r="G185" s="26">
        <f>520+30+50</f>
        <v>600</v>
      </c>
      <c r="H185" s="32">
        <f t="shared" si="116"/>
        <v>7200</v>
      </c>
      <c r="I185" s="32">
        <v>60</v>
      </c>
      <c r="J185" s="32"/>
      <c r="K185" s="32">
        <f t="shared" si="117"/>
        <v>600</v>
      </c>
      <c r="L185" s="32">
        <v>300</v>
      </c>
      <c r="M185" s="12"/>
      <c r="N185" s="24">
        <v>125</v>
      </c>
      <c r="O185" s="24"/>
      <c r="P185" s="12">
        <f>G185*0.0775*13</f>
        <v>604.5</v>
      </c>
      <c r="Q185" s="26">
        <f>P185/13</f>
        <v>46.5</v>
      </c>
      <c r="R185" s="12"/>
      <c r="S185" s="12"/>
      <c r="T185" s="12"/>
      <c r="U185" s="12">
        <f t="shared" si="118"/>
        <v>585</v>
      </c>
      <c r="V185" s="12">
        <f>U185/13</f>
        <v>45</v>
      </c>
      <c r="W185" s="12"/>
      <c r="X185" s="12"/>
      <c r="Y185" s="12">
        <f>P185+S185+U185+W185</f>
        <v>1189.5</v>
      </c>
      <c r="Z185" s="12">
        <f t="shared" si="119"/>
        <v>78</v>
      </c>
      <c r="AA185" s="12">
        <f>Z185/13</f>
        <v>6</v>
      </c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1:43">
      <c r="A186" s="21">
        <f>A185+1</f>
        <v>135</v>
      </c>
      <c r="B186" s="111" t="s">
        <v>369</v>
      </c>
      <c r="C186" s="56" t="s">
        <v>370</v>
      </c>
      <c r="D186" s="83" t="s">
        <v>355</v>
      </c>
      <c r="E186" s="84" t="s">
        <v>79</v>
      </c>
      <c r="F186" s="85" t="s">
        <v>351</v>
      </c>
      <c r="G186" s="26">
        <f>467+30+50</f>
        <v>547</v>
      </c>
      <c r="H186" s="32">
        <f>G186*12</f>
        <v>6564</v>
      </c>
      <c r="I186" s="32">
        <v>60</v>
      </c>
      <c r="J186" s="36"/>
      <c r="K186" s="32">
        <f>G186</f>
        <v>547</v>
      </c>
      <c r="L186" s="32">
        <v>300</v>
      </c>
      <c r="M186" s="37"/>
      <c r="N186" s="24">
        <v>125</v>
      </c>
      <c r="O186" s="24"/>
      <c r="P186" s="12">
        <f>G186*0.0775*13</f>
        <v>551.10249999999996</v>
      </c>
      <c r="Q186" s="40"/>
      <c r="R186" s="12">
        <f>P186/13</f>
        <v>42.392499999999998</v>
      </c>
      <c r="S186" s="12"/>
      <c r="T186" s="12"/>
      <c r="U186" s="12">
        <f>G186*0.075*13</f>
        <v>533.32499999999993</v>
      </c>
      <c r="V186" s="12">
        <f>U186/13</f>
        <v>41.024999999999991</v>
      </c>
      <c r="W186" s="12"/>
      <c r="X186" s="12"/>
      <c r="Y186" s="12">
        <f>P186+S186+U186+W186</f>
        <v>1084.4274999999998</v>
      </c>
      <c r="Z186" s="12">
        <f>G186*0.01*13</f>
        <v>71.11</v>
      </c>
      <c r="AA186" s="12">
        <f>Z186/13</f>
        <v>5.47</v>
      </c>
      <c r="AB186" s="38"/>
      <c r="AC186" s="38"/>
      <c r="AD186" s="38"/>
      <c r="AE186" s="38"/>
      <c r="AF186" s="37"/>
      <c r="AG186" s="38"/>
      <c r="AH186" s="37"/>
      <c r="AI186" s="12"/>
      <c r="AJ186" s="38"/>
      <c r="AK186" s="38"/>
      <c r="AL186" s="38"/>
      <c r="AM186" s="12"/>
      <c r="AN186" s="12"/>
      <c r="AO186" s="12"/>
      <c r="AP186" s="38"/>
      <c r="AQ186" s="37"/>
    </row>
    <row r="187" spans="1:43">
      <c r="A187" s="21">
        <f t="shared" ref="A187:A196" si="124">A186+1</f>
        <v>136</v>
      </c>
      <c r="B187" s="27" t="s">
        <v>371</v>
      </c>
      <c r="C187" s="56" t="s">
        <v>370</v>
      </c>
      <c r="D187" s="83" t="s">
        <v>355</v>
      </c>
      <c r="E187" s="84" t="s">
        <v>79</v>
      </c>
      <c r="F187" s="85" t="s">
        <v>351</v>
      </c>
      <c r="G187" s="26">
        <f t="shared" ref="G187:G191" si="125">467+30+50</f>
        <v>547</v>
      </c>
      <c r="H187" s="32">
        <f t="shared" si="116"/>
        <v>6564</v>
      </c>
      <c r="I187" s="32">
        <v>60</v>
      </c>
      <c r="J187" s="36"/>
      <c r="K187" s="32">
        <f t="shared" si="117"/>
        <v>547</v>
      </c>
      <c r="L187" s="32">
        <v>300</v>
      </c>
      <c r="M187" s="37"/>
      <c r="N187" s="24">
        <v>125</v>
      </c>
      <c r="O187" s="24"/>
      <c r="P187" s="12">
        <f t="shared" si="121"/>
        <v>551.10249999999996</v>
      </c>
      <c r="Q187" s="40"/>
      <c r="R187" s="12">
        <f>P187/13</f>
        <v>42.392499999999998</v>
      </c>
      <c r="S187" s="12"/>
      <c r="T187" s="12"/>
      <c r="U187" s="12">
        <f t="shared" si="118"/>
        <v>533.32499999999993</v>
      </c>
      <c r="V187" s="12">
        <f t="shared" si="122"/>
        <v>41.024999999999991</v>
      </c>
      <c r="W187" s="12"/>
      <c r="X187" s="12"/>
      <c r="Y187" s="12">
        <f t="shared" ref="Y187:Y193" si="126">P187+S187+U187+W187</f>
        <v>1084.4274999999998</v>
      </c>
      <c r="Z187" s="12">
        <f t="shared" si="119"/>
        <v>71.11</v>
      </c>
      <c r="AA187" s="12">
        <f t="shared" si="123"/>
        <v>5.47</v>
      </c>
      <c r="AB187" s="38"/>
      <c r="AC187" s="38"/>
      <c r="AD187" s="38"/>
      <c r="AE187" s="38"/>
      <c r="AF187" s="37"/>
      <c r="AG187" s="38"/>
      <c r="AH187" s="37"/>
      <c r="AI187" s="12"/>
      <c r="AJ187" s="38"/>
      <c r="AK187" s="38"/>
      <c r="AL187" s="38"/>
      <c r="AM187" s="12"/>
      <c r="AN187" s="12"/>
      <c r="AO187" s="12"/>
      <c r="AP187" s="38"/>
      <c r="AQ187" s="37"/>
    </row>
    <row r="188" spans="1:43">
      <c r="A188" s="21">
        <f t="shared" si="124"/>
        <v>137</v>
      </c>
      <c r="B188" s="27" t="s">
        <v>372</v>
      </c>
      <c r="C188" s="56" t="s">
        <v>370</v>
      </c>
      <c r="D188" s="83" t="s">
        <v>355</v>
      </c>
      <c r="E188" s="84" t="s">
        <v>79</v>
      </c>
      <c r="F188" s="85" t="s">
        <v>351</v>
      </c>
      <c r="G188" s="26">
        <f t="shared" si="125"/>
        <v>547</v>
      </c>
      <c r="H188" s="32">
        <f t="shared" si="116"/>
        <v>6564</v>
      </c>
      <c r="I188" s="32">
        <v>60</v>
      </c>
      <c r="J188" s="36"/>
      <c r="K188" s="32">
        <f t="shared" si="117"/>
        <v>547</v>
      </c>
      <c r="L188" s="32">
        <v>300</v>
      </c>
      <c r="M188" s="37"/>
      <c r="N188" s="24">
        <v>125</v>
      </c>
      <c r="O188" s="24"/>
      <c r="P188" s="12">
        <f t="shared" si="121"/>
        <v>551.10249999999996</v>
      </c>
      <c r="Q188" s="9">
        <f>P188/13</f>
        <v>42.392499999999998</v>
      </c>
      <c r="R188" s="40"/>
      <c r="S188" s="12"/>
      <c r="T188" s="12"/>
      <c r="U188" s="12">
        <f t="shared" si="118"/>
        <v>533.32499999999993</v>
      </c>
      <c r="V188" s="12">
        <f t="shared" si="122"/>
        <v>41.024999999999991</v>
      </c>
      <c r="W188" s="12"/>
      <c r="X188" s="12"/>
      <c r="Y188" s="12">
        <f t="shared" si="126"/>
        <v>1084.4274999999998</v>
      </c>
      <c r="Z188" s="12">
        <f t="shared" si="119"/>
        <v>71.11</v>
      </c>
      <c r="AA188" s="12">
        <f t="shared" si="123"/>
        <v>5.47</v>
      </c>
      <c r="AB188" s="38"/>
      <c r="AC188" s="38"/>
      <c r="AD188" s="38"/>
      <c r="AE188" s="38"/>
      <c r="AF188" s="37"/>
      <c r="AG188" s="38"/>
      <c r="AH188" s="37"/>
      <c r="AI188" s="12"/>
      <c r="AJ188" s="38"/>
      <c r="AK188" s="38"/>
      <c r="AL188" s="38"/>
      <c r="AM188" s="12"/>
      <c r="AN188" s="12"/>
      <c r="AO188" s="12"/>
      <c r="AP188" s="38"/>
      <c r="AQ188" s="37"/>
    </row>
    <row r="189" spans="1:43">
      <c r="A189" s="21">
        <f t="shared" si="124"/>
        <v>138</v>
      </c>
      <c r="B189" s="27" t="s">
        <v>373</v>
      </c>
      <c r="C189" s="56" t="s">
        <v>370</v>
      </c>
      <c r="D189" s="83" t="s">
        <v>355</v>
      </c>
      <c r="E189" s="84" t="s">
        <v>79</v>
      </c>
      <c r="F189" s="85" t="s">
        <v>351</v>
      </c>
      <c r="G189" s="26">
        <f>467+30+50</f>
        <v>547</v>
      </c>
      <c r="H189" s="32">
        <f>G189*12</f>
        <v>6564</v>
      </c>
      <c r="I189" s="32">
        <v>60</v>
      </c>
      <c r="J189" s="36"/>
      <c r="K189" s="32">
        <f>G189</f>
        <v>547</v>
      </c>
      <c r="L189" s="32">
        <v>300</v>
      </c>
      <c r="M189" s="37"/>
      <c r="N189" s="24">
        <v>125</v>
      </c>
      <c r="O189" s="24"/>
      <c r="P189" s="12">
        <f>G189*0.0775*13</f>
        <v>551.10249999999996</v>
      </c>
      <c r="Q189" s="9">
        <f>P189/13</f>
        <v>42.392499999999998</v>
      </c>
      <c r="R189" s="40"/>
      <c r="S189" s="12"/>
      <c r="T189" s="12"/>
      <c r="U189" s="12">
        <f>G189*0.075*13</f>
        <v>533.32499999999993</v>
      </c>
      <c r="V189" s="12">
        <f>U189/13</f>
        <v>41.024999999999991</v>
      </c>
      <c r="W189" s="12"/>
      <c r="X189" s="12"/>
      <c r="Y189" s="12">
        <f>P189+S189+U189+W189</f>
        <v>1084.4274999999998</v>
      </c>
      <c r="Z189" s="12">
        <f>G189*0.01*13</f>
        <v>71.11</v>
      </c>
      <c r="AA189" s="12">
        <f>Z189/13</f>
        <v>5.47</v>
      </c>
      <c r="AB189" s="38"/>
      <c r="AC189" s="38"/>
      <c r="AD189" s="38"/>
      <c r="AE189" s="38"/>
      <c r="AF189" s="37"/>
      <c r="AG189" s="38"/>
      <c r="AH189" s="37"/>
      <c r="AI189" s="12"/>
      <c r="AJ189" s="38"/>
      <c r="AK189" s="38"/>
      <c r="AL189" s="38"/>
      <c r="AM189" s="12"/>
      <c r="AN189" s="12"/>
      <c r="AO189" s="12"/>
      <c r="AP189" s="38"/>
      <c r="AQ189" s="37"/>
    </row>
    <row r="190" spans="1:43">
      <c r="A190" s="21">
        <f t="shared" si="124"/>
        <v>139</v>
      </c>
      <c r="B190" s="27" t="s">
        <v>374</v>
      </c>
      <c r="C190" s="56" t="s">
        <v>370</v>
      </c>
      <c r="D190" s="83" t="s">
        <v>355</v>
      </c>
      <c r="E190" s="84" t="s">
        <v>79</v>
      </c>
      <c r="F190" s="85" t="s">
        <v>351</v>
      </c>
      <c r="G190" s="26">
        <f t="shared" si="125"/>
        <v>547</v>
      </c>
      <c r="H190" s="32">
        <f t="shared" si="116"/>
        <v>6564</v>
      </c>
      <c r="I190" s="32">
        <v>60</v>
      </c>
      <c r="J190" s="36"/>
      <c r="K190" s="32">
        <f t="shared" si="117"/>
        <v>547</v>
      </c>
      <c r="L190" s="32">
        <v>300</v>
      </c>
      <c r="M190" s="37"/>
      <c r="N190" s="24">
        <v>125</v>
      </c>
      <c r="O190" s="24"/>
      <c r="P190" s="12">
        <f t="shared" si="121"/>
        <v>551.10249999999996</v>
      </c>
      <c r="Q190" s="40"/>
      <c r="R190" s="12">
        <f>P190/13</f>
        <v>42.392499999999998</v>
      </c>
      <c r="S190" s="12"/>
      <c r="T190" s="12"/>
      <c r="U190" s="12">
        <f t="shared" si="118"/>
        <v>533.32499999999993</v>
      </c>
      <c r="V190" s="12">
        <f t="shared" si="122"/>
        <v>41.024999999999991</v>
      </c>
      <c r="W190" s="12"/>
      <c r="X190" s="12"/>
      <c r="Y190" s="12">
        <f t="shared" si="126"/>
        <v>1084.4274999999998</v>
      </c>
      <c r="Z190" s="12">
        <f t="shared" si="119"/>
        <v>71.11</v>
      </c>
      <c r="AA190" s="12">
        <f t="shared" si="123"/>
        <v>5.47</v>
      </c>
      <c r="AB190" s="38"/>
      <c r="AC190" s="38"/>
      <c r="AD190" s="38"/>
      <c r="AE190" s="38"/>
      <c r="AF190" s="37"/>
      <c r="AG190" s="38"/>
      <c r="AH190" s="37"/>
      <c r="AI190" s="12"/>
      <c r="AJ190" s="38"/>
      <c r="AK190" s="38"/>
      <c r="AL190" s="38"/>
      <c r="AM190" s="12"/>
      <c r="AN190" s="12"/>
      <c r="AO190" s="12"/>
      <c r="AP190" s="38"/>
      <c r="AQ190" s="37"/>
    </row>
    <row r="191" spans="1:43">
      <c r="A191" s="21">
        <f t="shared" si="124"/>
        <v>140</v>
      </c>
      <c r="B191" s="27" t="s">
        <v>375</v>
      </c>
      <c r="C191" s="56" t="s">
        <v>370</v>
      </c>
      <c r="D191" s="83" t="s">
        <v>355</v>
      </c>
      <c r="E191" s="84" t="s">
        <v>79</v>
      </c>
      <c r="F191" s="85" t="s">
        <v>351</v>
      </c>
      <c r="G191" s="26">
        <f t="shared" si="125"/>
        <v>547</v>
      </c>
      <c r="H191" s="32">
        <f t="shared" si="116"/>
        <v>6564</v>
      </c>
      <c r="I191" s="32">
        <v>60</v>
      </c>
      <c r="J191" s="36"/>
      <c r="K191" s="32">
        <f t="shared" si="117"/>
        <v>547</v>
      </c>
      <c r="L191" s="32">
        <v>300</v>
      </c>
      <c r="M191" s="37"/>
      <c r="N191" s="24">
        <v>125</v>
      </c>
      <c r="O191" s="24"/>
      <c r="P191" s="12">
        <f t="shared" si="121"/>
        <v>551.10249999999996</v>
      </c>
      <c r="Q191" s="40"/>
      <c r="R191" s="12">
        <f>P191/13</f>
        <v>42.392499999999998</v>
      </c>
      <c r="S191" s="37"/>
      <c r="T191" s="37"/>
      <c r="U191" s="12">
        <f t="shared" si="118"/>
        <v>533.32499999999993</v>
      </c>
      <c r="V191" s="12">
        <f t="shared" si="122"/>
        <v>41.024999999999991</v>
      </c>
      <c r="W191" s="37"/>
      <c r="X191" s="37"/>
      <c r="Y191" s="12">
        <f t="shared" si="126"/>
        <v>1084.4274999999998</v>
      </c>
      <c r="Z191" s="12">
        <f t="shared" si="119"/>
        <v>71.11</v>
      </c>
      <c r="AA191" s="12">
        <f t="shared" si="123"/>
        <v>5.47</v>
      </c>
      <c r="AB191" s="38"/>
      <c r="AC191" s="38"/>
      <c r="AD191" s="38"/>
      <c r="AE191" s="38"/>
      <c r="AF191" s="37"/>
      <c r="AG191" s="38"/>
      <c r="AH191" s="37"/>
      <c r="AI191" s="12"/>
      <c r="AJ191" s="38"/>
      <c r="AK191" s="38"/>
      <c r="AL191" s="38"/>
      <c r="AM191" s="12"/>
      <c r="AN191" s="12"/>
      <c r="AO191" s="12"/>
      <c r="AP191" s="38"/>
      <c r="AQ191" s="37"/>
    </row>
    <row r="192" spans="1:43">
      <c r="A192" s="21">
        <f t="shared" si="124"/>
        <v>141</v>
      </c>
      <c r="B192" s="27" t="s">
        <v>376</v>
      </c>
      <c r="C192" s="51" t="s">
        <v>377</v>
      </c>
      <c r="D192" s="83" t="s">
        <v>355</v>
      </c>
      <c r="E192" s="84" t="s">
        <v>79</v>
      </c>
      <c r="F192" s="85" t="s">
        <v>351</v>
      </c>
      <c r="G192" s="26">
        <f>417+50</f>
        <v>467</v>
      </c>
      <c r="H192" s="32">
        <f t="shared" si="116"/>
        <v>5604</v>
      </c>
      <c r="I192" s="32">
        <v>60</v>
      </c>
      <c r="J192" s="36"/>
      <c r="K192" s="32">
        <f t="shared" si="117"/>
        <v>467</v>
      </c>
      <c r="L192" s="32">
        <v>300</v>
      </c>
      <c r="M192" s="37"/>
      <c r="N192" s="24">
        <v>125</v>
      </c>
      <c r="O192" s="24"/>
      <c r="P192" s="12">
        <f t="shared" si="121"/>
        <v>470.50250000000005</v>
      </c>
      <c r="Q192" s="12"/>
      <c r="R192" s="12">
        <f>P192/13</f>
        <v>36.192500000000003</v>
      </c>
      <c r="S192" s="12"/>
      <c r="T192" s="12"/>
      <c r="U192" s="12">
        <f t="shared" si="118"/>
        <v>455.32499999999999</v>
      </c>
      <c r="V192" s="12">
        <f t="shared" si="122"/>
        <v>35.024999999999999</v>
      </c>
      <c r="W192" s="12"/>
      <c r="X192" s="12"/>
      <c r="Y192" s="12">
        <f t="shared" si="126"/>
        <v>925.8275000000001</v>
      </c>
      <c r="Z192" s="12">
        <f t="shared" si="119"/>
        <v>60.71</v>
      </c>
      <c r="AA192" s="12">
        <f t="shared" si="123"/>
        <v>4.67</v>
      </c>
      <c r="AB192" s="38"/>
      <c r="AC192" s="38"/>
      <c r="AD192" s="38"/>
      <c r="AE192" s="38"/>
      <c r="AF192" s="37"/>
      <c r="AG192" s="38"/>
      <c r="AH192" s="37"/>
      <c r="AI192" s="12"/>
      <c r="AJ192" s="38"/>
      <c r="AK192" s="38"/>
      <c r="AL192" s="38"/>
      <c r="AM192" s="12"/>
      <c r="AN192" s="12"/>
      <c r="AO192" s="12"/>
      <c r="AP192" s="38"/>
      <c r="AQ192" s="37"/>
    </row>
    <row r="193" spans="1:43">
      <c r="A193" s="21">
        <f t="shared" si="124"/>
        <v>142</v>
      </c>
      <c r="B193" s="27" t="s">
        <v>378</v>
      </c>
      <c r="C193" s="51" t="s">
        <v>377</v>
      </c>
      <c r="D193" s="83" t="s">
        <v>355</v>
      </c>
      <c r="E193" s="84" t="s">
        <v>79</v>
      </c>
      <c r="F193" s="85" t="s">
        <v>351</v>
      </c>
      <c r="G193" s="26">
        <f>417+50</f>
        <v>467</v>
      </c>
      <c r="H193" s="32">
        <f t="shared" si="116"/>
        <v>5604</v>
      </c>
      <c r="I193" s="32">
        <v>60</v>
      </c>
      <c r="J193" s="36"/>
      <c r="K193" s="32">
        <f t="shared" si="117"/>
        <v>467</v>
      </c>
      <c r="L193" s="32">
        <v>300</v>
      </c>
      <c r="M193" s="37"/>
      <c r="N193" s="24">
        <v>125</v>
      </c>
      <c r="O193" s="24"/>
      <c r="P193" s="12">
        <f t="shared" si="121"/>
        <v>470.50250000000005</v>
      </c>
      <c r="Q193" s="9">
        <f>P193/13</f>
        <v>36.192500000000003</v>
      </c>
      <c r="R193" s="12"/>
      <c r="S193" s="12"/>
      <c r="T193" s="12"/>
      <c r="U193" s="12">
        <f t="shared" si="118"/>
        <v>455.32499999999999</v>
      </c>
      <c r="V193" s="12">
        <f t="shared" si="122"/>
        <v>35.024999999999999</v>
      </c>
      <c r="W193" s="12"/>
      <c r="X193" s="12"/>
      <c r="Y193" s="12">
        <f t="shared" si="126"/>
        <v>925.8275000000001</v>
      </c>
      <c r="Z193" s="12">
        <f t="shared" si="119"/>
        <v>60.71</v>
      </c>
      <c r="AA193" s="12">
        <f t="shared" si="123"/>
        <v>4.67</v>
      </c>
      <c r="AB193" s="38"/>
      <c r="AC193" s="38"/>
      <c r="AD193" s="38"/>
      <c r="AE193" s="38"/>
      <c r="AF193" s="37"/>
      <c r="AG193" s="38"/>
      <c r="AH193" s="37"/>
      <c r="AI193" s="12"/>
      <c r="AJ193" s="38"/>
      <c r="AK193" s="38"/>
      <c r="AL193" s="38"/>
      <c r="AM193" s="12"/>
      <c r="AN193" s="12"/>
      <c r="AO193" s="12"/>
      <c r="AP193" s="38"/>
      <c r="AQ193" s="37"/>
    </row>
    <row r="194" spans="1:43">
      <c r="A194" s="21">
        <f t="shared" si="124"/>
        <v>143</v>
      </c>
      <c r="B194" s="112" t="s">
        <v>379</v>
      </c>
      <c r="C194" s="51" t="s">
        <v>380</v>
      </c>
      <c r="D194" s="83" t="s">
        <v>355</v>
      </c>
      <c r="E194" s="84" t="s">
        <v>79</v>
      </c>
      <c r="F194" s="85" t="s">
        <v>351</v>
      </c>
      <c r="G194" s="26">
        <f>417</f>
        <v>417</v>
      </c>
      <c r="H194" s="32">
        <f t="shared" si="116"/>
        <v>5004</v>
      </c>
      <c r="I194" s="32">
        <v>60</v>
      </c>
      <c r="J194" s="36"/>
      <c r="K194" s="32">
        <f t="shared" si="117"/>
        <v>417</v>
      </c>
      <c r="L194" s="32">
        <v>300</v>
      </c>
      <c r="M194" s="37"/>
      <c r="N194" s="24">
        <v>125</v>
      </c>
      <c r="O194" s="24"/>
      <c r="P194" s="12">
        <f t="shared" si="121"/>
        <v>420.12750000000005</v>
      </c>
      <c r="Q194" s="40"/>
      <c r="R194" s="12">
        <f>P194/13</f>
        <v>32.317500000000003</v>
      </c>
      <c r="S194" s="12"/>
      <c r="T194" s="12"/>
      <c r="U194" s="12">
        <f t="shared" si="118"/>
        <v>406.57499999999999</v>
      </c>
      <c r="V194" s="12">
        <f t="shared" si="122"/>
        <v>31.274999999999999</v>
      </c>
      <c r="W194" s="12"/>
      <c r="X194" s="12"/>
      <c r="Y194" s="12">
        <f>P194+S194+U194+W194+0.01</f>
        <v>826.71250000000009</v>
      </c>
      <c r="Z194" s="12">
        <f t="shared" si="119"/>
        <v>54.21</v>
      </c>
      <c r="AA194" s="12">
        <f t="shared" si="123"/>
        <v>4.17</v>
      </c>
      <c r="AB194" s="38"/>
      <c r="AC194" s="38"/>
      <c r="AD194" s="38"/>
      <c r="AE194" s="38"/>
      <c r="AF194" s="37"/>
      <c r="AG194" s="38"/>
      <c r="AH194" s="37"/>
      <c r="AI194" s="12"/>
      <c r="AJ194" s="38"/>
      <c r="AK194" s="38"/>
      <c r="AL194" s="38"/>
      <c r="AM194" s="12"/>
      <c r="AN194" s="12"/>
      <c r="AO194" s="12"/>
      <c r="AP194" s="38"/>
      <c r="AQ194" s="37"/>
    </row>
    <row r="195" spans="1:43">
      <c r="A195" s="21">
        <f t="shared" si="124"/>
        <v>144</v>
      </c>
      <c r="B195" s="112" t="s">
        <v>381</v>
      </c>
      <c r="C195" s="51" t="s">
        <v>380</v>
      </c>
      <c r="D195" s="83" t="s">
        <v>355</v>
      </c>
      <c r="E195" s="84" t="s">
        <v>79</v>
      </c>
      <c r="F195" s="85" t="s">
        <v>351</v>
      </c>
      <c r="G195" s="26">
        <f>417</f>
        <v>417</v>
      </c>
      <c r="H195" s="32">
        <f t="shared" si="116"/>
        <v>5004</v>
      </c>
      <c r="I195" s="32">
        <v>60</v>
      </c>
      <c r="J195" s="36"/>
      <c r="K195" s="32">
        <f t="shared" si="117"/>
        <v>417</v>
      </c>
      <c r="L195" s="32">
        <v>300</v>
      </c>
      <c r="M195" s="37"/>
      <c r="N195" s="24">
        <v>125</v>
      </c>
      <c r="O195" s="24"/>
      <c r="P195" s="12">
        <f t="shared" si="121"/>
        <v>420.12750000000005</v>
      </c>
      <c r="Q195" s="40"/>
      <c r="R195" s="12">
        <f>P195/13</f>
        <v>32.317500000000003</v>
      </c>
      <c r="S195" s="12"/>
      <c r="T195" s="12"/>
      <c r="U195" s="12">
        <f t="shared" si="118"/>
        <v>406.57499999999999</v>
      </c>
      <c r="V195" s="12">
        <f t="shared" si="122"/>
        <v>31.274999999999999</v>
      </c>
      <c r="W195" s="12"/>
      <c r="X195" s="12"/>
      <c r="Y195" s="12">
        <f>P195+S195+U195+W195+0.01</f>
        <v>826.71250000000009</v>
      </c>
      <c r="Z195" s="12">
        <f t="shared" si="119"/>
        <v>54.21</v>
      </c>
      <c r="AA195" s="12">
        <f t="shared" si="123"/>
        <v>4.17</v>
      </c>
      <c r="AB195" s="38"/>
      <c r="AC195" s="38"/>
      <c r="AD195" s="38"/>
      <c r="AE195" s="38"/>
      <c r="AF195" s="37"/>
      <c r="AG195" s="38"/>
      <c r="AH195" s="37"/>
      <c r="AI195" s="12"/>
      <c r="AJ195" s="38"/>
      <c r="AK195" s="38"/>
      <c r="AL195" s="38"/>
      <c r="AM195" s="12"/>
      <c r="AN195" s="12"/>
      <c r="AO195" s="12"/>
      <c r="AP195" s="38"/>
      <c r="AQ195" s="37"/>
    </row>
    <row r="196" spans="1:43">
      <c r="A196" s="21">
        <f t="shared" si="124"/>
        <v>145</v>
      </c>
      <c r="B196" s="113" t="s">
        <v>382</v>
      </c>
      <c r="C196" s="51" t="s">
        <v>380</v>
      </c>
      <c r="D196" s="83" t="s">
        <v>355</v>
      </c>
      <c r="E196" s="84" t="s">
        <v>79</v>
      </c>
      <c r="F196" s="85" t="s">
        <v>351</v>
      </c>
      <c r="G196" s="26">
        <v>417</v>
      </c>
      <c r="H196" s="32">
        <f t="shared" si="116"/>
        <v>5004</v>
      </c>
      <c r="I196" s="32">
        <v>60</v>
      </c>
      <c r="J196" s="36"/>
      <c r="K196" s="32">
        <f t="shared" si="117"/>
        <v>417</v>
      </c>
      <c r="L196" s="32">
        <v>300</v>
      </c>
      <c r="M196" s="37"/>
      <c r="N196" s="24">
        <v>125</v>
      </c>
      <c r="O196" s="24"/>
      <c r="P196" s="12">
        <f t="shared" si="121"/>
        <v>420.12750000000005</v>
      </c>
      <c r="Q196" s="9"/>
      <c r="R196" s="12">
        <f>P196/13</f>
        <v>32.317500000000003</v>
      </c>
      <c r="S196" s="12"/>
      <c r="T196" s="12"/>
      <c r="U196" s="12">
        <f t="shared" si="118"/>
        <v>406.57499999999999</v>
      </c>
      <c r="V196" s="12">
        <f t="shared" si="122"/>
        <v>31.274999999999999</v>
      </c>
      <c r="W196" s="12"/>
      <c r="X196" s="12"/>
      <c r="Y196" s="12">
        <f>P196+S196+U196+W196+0.01</f>
        <v>826.71250000000009</v>
      </c>
      <c r="Z196" s="12">
        <f t="shared" si="119"/>
        <v>54.21</v>
      </c>
      <c r="AA196" s="12">
        <f t="shared" si="123"/>
        <v>4.17</v>
      </c>
      <c r="AB196" s="38"/>
      <c r="AC196" s="38"/>
      <c r="AD196" s="38"/>
      <c r="AE196" s="38"/>
      <c r="AF196" s="37"/>
      <c r="AG196" s="38"/>
      <c r="AH196" s="37"/>
      <c r="AI196" s="12"/>
      <c r="AJ196" s="38"/>
      <c r="AK196" s="38"/>
      <c r="AL196" s="38"/>
      <c r="AM196" s="12"/>
      <c r="AN196" s="12"/>
      <c r="AO196" s="12"/>
      <c r="AP196" s="38"/>
      <c r="AQ196" s="37"/>
    </row>
    <row r="197" spans="1:43">
      <c r="A197" s="49"/>
      <c r="B197" s="60"/>
      <c r="C197" s="114" t="s">
        <v>383</v>
      </c>
      <c r="D197" s="115"/>
      <c r="E197" s="116"/>
      <c r="F197" s="117"/>
      <c r="G197" s="87">
        <f t="shared" ref="G197:O197" si="127">SUM(G178:G196)</f>
        <v>10599</v>
      </c>
      <c r="H197" s="30">
        <f t="shared" si="127"/>
        <v>127188</v>
      </c>
      <c r="I197" s="30">
        <f t="shared" si="127"/>
        <v>1140</v>
      </c>
      <c r="J197" s="30">
        <f t="shared" si="127"/>
        <v>0</v>
      </c>
      <c r="K197" s="30">
        <f t="shared" si="127"/>
        <v>10599</v>
      </c>
      <c r="L197" s="30">
        <f t="shared" si="127"/>
        <v>5700</v>
      </c>
      <c r="M197" s="20">
        <f t="shared" si="127"/>
        <v>0</v>
      </c>
      <c r="N197" s="20">
        <f t="shared" si="127"/>
        <v>2375</v>
      </c>
      <c r="O197" s="20">
        <f t="shared" si="127"/>
        <v>0</v>
      </c>
      <c r="P197" s="20">
        <f>SUM(P178:P196)-0.01</f>
        <v>10678.482500000002</v>
      </c>
      <c r="Q197" s="20">
        <f>SUM(Q178:Q196)</f>
        <v>256.13749999999999</v>
      </c>
      <c r="R197" s="20">
        <f>SUM(R178:R196)-0.01</f>
        <v>565.27499999999998</v>
      </c>
      <c r="S197" s="20">
        <f>SUM(S178:S196)</f>
        <v>0</v>
      </c>
      <c r="T197" s="20">
        <f>SUM(T178:T196)</f>
        <v>0</v>
      </c>
      <c r="U197" s="20">
        <f>SUM(U178:U196)+0.08</f>
        <v>10334.105000000003</v>
      </c>
      <c r="V197" s="20">
        <f>SUM(V178:V196)+0.08</f>
        <v>795.00499999999977</v>
      </c>
      <c r="W197" s="20">
        <f>SUM(W178:W196)</f>
        <v>0</v>
      </c>
      <c r="X197" s="20">
        <f>SUM(X178:X196)</f>
        <v>0</v>
      </c>
      <c r="Y197" s="20">
        <f>SUM(Y178:Y196)+0.01</f>
        <v>21012.587499999998</v>
      </c>
      <c r="Z197" s="20">
        <f>SUM(Z178:Z196)</f>
        <v>1377.8700000000001</v>
      </c>
      <c r="AA197" s="20">
        <f>SUM(AA178:AA196)</f>
        <v>105.99000000000001</v>
      </c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</row>
    <row r="198" spans="1:43">
      <c r="A198" s="21">
        <f>A196+1</f>
        <v>146</v>
      </c>
      <c r="B198" s="27" t="s">
        <v>384</v>
      </c>
      <c r="C198" s="56" t="s">
        <v>385</v>
      </c>
      <c r="D198" s="83" t="s">
        <v>386</v>
      </c>
      <c r="E198" s="84" t="s">
        <v>79</v>
      </c>
      <c r="F198" s="85" t="s">
        <v>351</v>
      </c>
      <c r="G198" s="26">
        <f>817+30+50</f>
        <v>897</v>
      </c>
      <c r="H198" s="32">
        <f>G198*12</f>
        <v>10764</v>
      </c>
      <c r="I198" s="32">
        <v>60</v>
      </c>
      <c r="J198" s="36"/>
      <c r="K198" s="32">
        <f>G198</f>
        <v>897</v>
      </c>
      <c r="L198" s="32">
        <v>300</v>
      </c>
      <c r="M198" s="37"/>
      <c r="N198" s="24">
        <v>125</v>
      </c>
      <c r="O198" s="24"/>
      <c r="P198" s="12">
        <f>G198*0.0775*13</f>
        <v>903.72749999999996</v>
      </c>
      <c r="Q198" s="9">
        <f>P198/13</f>
        <v>69.517499999999998</v>
      </c>
      <c r="R198" s="12"/>
      <c r="S198" s="12"/>
      <c r="T198" s="12"/>
      <c r="U198" s="12">
        <f>G198*0.075*13</f>
        <v>874.57499999999993</v>
      </c>
      <c r="V198" s="12">
        <f>U198/13</f>
        <v>67.274999999999991</v>
      </c>
      <c r="W198" s="12"/>
      <c r="X198" s="12"/>
      <c r="Y198" s="12">
        <f>P198+S198+U198+W198+0.01</f>
        <v>1778.3124999999998</v>
      </c>
      <c r="Z198" s="12">
        <f>G198*0.01*13</f>
        <v>116.61000000000001</v>
      </c>
      <c r="AA198" s="12">
        <f>Z198/13</f>
        <v>8.9700000000000006</v>
      </c>
      <c r="AB198" s="38"/>
      <c r="AC198" s="38"/>
      <c r="AD198" s="38"/>
      <c r="AE198" s="38"/>
      <c r="AF198" s="37"/>
      <c r="AG198" s="12"/>
      <c r="AH198" s="37"/>
      <c r="AI198" s="12"/>
      <c r="AJ198" s="38"/>
      <c r="AK198" s="38"/>
      <c r="AL198" s="38"/>
      <c r="AM198" s="12"/>
      <c r="AN198" s="12"/>
      <c r="AO198" s="12"/>
      <c r="AP198" s="38"/>
      <c r="AQ198" s="37"/>
    </row>
    <row r="199" spans="1:43">
      <c r="A199" s="21">
        <f>A198+1</f>
        <v>147</v>
      </c>
      <c r="B199" s="27" t="s">
        <v>387</v>
      </c>
      <c r="C199" s="56" t="s">
        <v>388</v>
      </c>
      <c r="D199" s="83" t="s">
        <v>386</v>
      </c>
      <c r="E199" s="84" t="s">
        <v>79</v>
      </c>
      <c r="F199" s="85" t="s">
        <v>351</v>
      </c>
      <c r="G199" s="26">
        <f>437+30+50</f>
        <v>517</v>
      </c>
      <c r="H199" s="32">
        <f>G199*12</f>
        <v>6204</v>
      </c>
      <c r="I199" s="32">
        <v>60</v>
      </c>
      <c r="J199" s="36"/>
      <c r="K199" s="32">
        <f>G199</f>
        <v>517</v>
      </c>
      <c r="L199" s="32">
        <v>300</v>
      </c>
      <c r="M199" s="37"/>
      <c r="N199" s="24">
        <v>125</v>
      </c>
      <c r="O199" s="24"/>
      <c r="P199" s="12">
        <f>G199*0.0775*13</f>
        <v>520.87750000000005</v>
      </c>
      <c r="Q199" s="9">
        <f>P199/13</f>
        <v>40.067500000000003</v>
      </c>
      <c r="R199" s="12"/>
      <c r="S199" s="12"/>
      <c r="T199" s="12"/>
      <c r="U199" s="12">
        <f>G199*0.075*13</f>
        <v>504.07499999999999</v>
      </c>
      <c r="V199" s="12">
        <f>U199/13</f>
        <v>38.774999999999999</v>
      </c>
      <c r="W199" s="12"/>
      <c r="X199" s="12"/>
      <c r="Y199" s="12">
        <f>P199+S199+U199+W199+0.01</f>
        <v>1024.9625000000001</v>
      </c>
      <c r="Z199" s="12">
        <f>G199*0.01*13</f>
        <v>67.209999999999994</v>
      </c>
      <c r="AA199" s="12">
        <f>Z199/13</f>
        <v>5.17</v>
      </c>
      <c r="AB199" s="12"/>
      <c r="AC199" s="12"/>
      <c r="AD199" s="12"/>
      <c r="AE199" s="12"/>
      <c r="AF199" s="12"/>
      <c r="AG199" s="12"/>
      <c r="AH199" s="12"/>
      <c r="AI199" s="12"/>
      <c r="AJ199" s="12"/>
      <c r="AK199" s="38"/>
      <c r="AL199" s="38"/>
      <c r="AM199" s="12"/>
      <c r="AN199" s="12"/>
      <c r="AO199" s="12"/>
      <c r="AP199" s="37"/>
      <c r="AQ199" s="37"/>
    </row>
    <row r="200" spans="1:43">
      <c r="A200" s="21">
        <f t="shared" ref="A200:A201" si="128">A199+1</f>
        <v>148</v>
      </c>
      <c r="B200" s="112" t="s">
        <v>389</v>
      </c>
      <c r="C200" s="56" t="s">
        <v>390</v>
      </c>
      <c r="D200" s="83" t="s">
        <v>386</v>
      </c>
      <c r="E200" s="84" t="s">
        <v>79</v>
      </c>
      <c r="F200" s="85" t="s">
        <v>351</v>
      </c>
      <c r="G200" s="26">
        <v>500</v>
      </c>
      <c r="H200" s="32">
        <f>G200*12</f>
        <v>6000</v>
      </c>
      <c r="I200" s="32">
        <v>60</v>
      </c>
      <c r="J200" s="36"/>
      <c r="K200" s="32">
        <f>G200</f>
        <v>500</v>
      </c>
      <c r="L200" s="32">
        <v>300</v>
      </c>
      <c r="M200" s="37"/>
      <c r="N200" s="24">
        <v>125</v>
      </c>
      <c r="O200" s="24"/>
      <c r="P200" s="12">
        <f>G200*0.0775*13</f>
        <v>503.75</v>
      </c>
      <c r="Q200" s="9">
        <f>P200/13</f>
        <v>38.75</v>
      </c>
      <c r="R200" s="12"/>
      <c r="S200" s="12"/>
      <c r="T200" s="12"/>
      <c r="U200" s="12">
        <f>G200*0.075*13</f>
        <v>487.5</v>
      </c>
      <c r="V200" s="12">
        <f>U200/13</f>
        <v>37.5</v>
      </c>
      <c r="W200" s="12"/>
      <c r="X200" s="12"/>
      <c r="Y200" s="12">
        <f>P200+S200+U200+W200</f>
        <v>991.25</v>
      </c>
      <c r="Z200" s="12">
        <f>G200*0.01*13</f>
        <v>65</v>
      </c>
      <c r="AA200" s="12">
        <f>Z200/13</f>
        <v>5</v>
      </c>
      <c r="AB200" s="12"/>
      <c r="AC200" s="12"/>
      <c r="AD200" s="12"/>
      <c r="AE200" s="12"/>
      <c r="AF200" s="12"/>
      <c r="AG200" s="12"/>
      <c r="AH200" s="12"/>
      <c r="AI200" s="12"/>
      <c r="AJ200" s="12"/>
      <c r="AK200" s="38"/>
      <c r="AL200" s="38"/>
      <c r="AM200" s="12"/>
      <c r="AN200" s="12"/>
      <c r="AO200" s="12"/>
      <c r="AP200" s="37"/>
      <c r="AQ200" s="37"/>
    </row>
    <row r="201" spans="1:43">
      <c r="A201" s="21">
        <f t="shared" si="128"/>
        <v>149</v>
      </c>
      <c r="B201" s="27" t="s">
        <v>391</v>
      </c>
      <c r="C201" s="25" t="s">
        <v>392</v>
      </c>
      <c r="D201" s="83" t="s">
        <v>386</v>
      </c>
      <c r="E201" s="84" t="s">
        <v>79</v>
      </c>
      <c r="F201" s="85" t="s">
        <v>351</v>
      </c>
      <c r="G201" s="26">
        <f>572+30+50</f>
        <v>652</v>
      </c>
      <c r="H201" s="32">
        <f>G201*12</f>
        <v>7824</v>
      </c>
      <c r="I201" s="32">
        <v>60</v>
      </c>
      <c r="J201" s="32"/>
      <c r="K201" s="32">
        <f>G201</f>
        <v>652</v>
      </c>
      <c r="L201" s="32">
        <v>300</v>
      </c>
      <c r="M201" s="12"/>
      <c r="N201" s="24">
        <v>125</v>
      </c>
      <c r="O201" s="24"/>
      <c r="P201" s="12"/>
      <c r="Q201" s="12"/>
      <c r="R201" s="12"/>
      <c r="S201" s="12"/>
      <c r="T201" s="12"/>
      <c r="U201" s="12">
        <f>G201*0.075*13</f>
        <v>635.69999999999993</v>
      </c>
      <c r="V201" s="12">
        <f>U201/13</f>
        <v>48.899999999999991</v>
      </c>
      <c r="W201" s="12">
        <f>G201*0.06*13</f>
        <v>508.55999999999995</v>
      </c>
      <c r="X201" s="12">
        <v>34.32</v>
      </c>
      <c r="Y201" s="12">
        <f>P201+S201+U201+W201</f>
        <v>1144.2599999999998</v>
      </c>
      <c r="Z201" s="12">
        <f>G201*0.01*13</f>
        <v>84.76</v>
      </c>
      <c r="AA201" s="12">
        <f>Z201/13</f>
        <v>6.5200000000000005</v>
      </c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>
      <c r="A202" s="21"/>
      <c r="B202" s="15"/>
      <c r="C202" s="114" t="s">
        <v>393</v>
      </c>
      <c r="D202" s="83"/>
      <c r="E202" s="84"/>
      <c r="F202" s="85"/>
      <c r="G202" s="87">
        <f>SUM(G198:G201)</f>
        <v>2566</v>
      </c>
      <c r="H202" s="30">
        <f>SUM(H198:H201)</f>
        <v>30792</v>
      </c>
      <c r="I202" s="30">
        <f>SUM(I198:I201)</f>
        <v>240</v>
      </c>
      <c r="J202" s="30">
        <f>SUM(J198:J199)</f>
        <v>0</v>
      </c>
      <c r="K202" s="30">
        <f>SUM(K198:K201)</f>
        <v>2566</v>
      </c>
      <c r="L202" s="30">
        <f>SUM(L198:L201)</f>
        <v>1200</v>
      </c>
      <c r="M202" s="20">
        <f>SUM(M198:M199)</f>
        <v>0</v>
      </c>
      <c r="N202" s="20">
        <f>SUM(N198:N201)</f>
        <v>500</v>
      </c>
      <c r="O202" s="20">
        <f>SUM(O198:O199)</f>
        <v>0</v>
      </c>
      <c r="P202" s="20">
        <f>SUM(P198:P201)</f>
        <v>1928.355</v>
      </c>
      <c r="Q202" s="20">
        <f>SUM(Q198:Q201)</f>
        <v>148.33500000000001</v>
      </c>
      <c r="R202" s="20">
        <f>SUM(R198:R199)</f>
        <v>0</v>
      </c>
      <c r="S202" s="20">
        <f>SUM(S198:S201)</f>
        <v>0</v>
      </c>
      <c r="T202" s="20">
        <f>SUM(T198:T201)</f>
        <v>0</v>
      </c>
      <c r="U202" s="20">
        <f>SUM(U198:U201)+0.01</f>
        <v>2501.86</v>
      </c>
      <c r="V202" s="20">
        <f>SUM(V198:V201)+0.01</f>
        <v>192.45999999999998</v>
      </c>
      <c r="W202" s="20">
        <f>SUM(W198:W201)</f>
        <v>508.55999999999995</v>
      </c>
      <c r="X202" s="20">
        <f>SUM(X198:X201)</f>
        <v>34.32</v>
      </c>
      <c r="Y202" s="20">
        <f>SUM(Y198:Y201)-0.01</f>
        <v>4938.7749999999996</v>
      </c>
      <c r="Z202" s="20">
        <f>SUM(Z198:Z201)</f>
        <v>333.58</v>
      </c>
      <c r="AA202" s="20">
        <f>SUM(AA198:AA201)</f>
        <v>25.66</v>
      </c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</row>
    <row r="203" spans="1:43">
      <c r="A203" s="21">
        <f>A201+1</f>
        <v>150</v>
      </c>
      <c r="B203" s="27" t="s">
        <v>396</v>
      </c>
      <c r="C203" s="106" t="s">
        <v>394</v>
      </c>
      <c r="D203" s="118" t="s">
        <v>395</v>
      </c>
      <c r="E203" s="84" t="s">
        <v>79</v>
      </c>
      <c r="F203" s="85" t="s">
        <v>351</v>
      </c>
      <c r="G203" s="26">
        <v>1500</v>
      </c>
      <c r="H203" s="32">
        <f>G203*12</f>
        <v>18000</v>
      </c>
      <c r="I203" s="32">
        <v>60</v>
      </c>
      <c r="J203" s="36"/>
      <c r="K203" s="32">
        <f>G203</f>
        <v>1500</v>
      </c>
      <c r="L203" s="32">
        <v>300</v>
      </c>
      <c r="M203" s="37"/>
      <c r="N203" s="24">
        <v>125</v>
      </c>
      <c r="O203" s="24"/>
      <c r="P203" s="12">
        <f>G203*0.0775*13</f>
        <v>1511.25</v>
      </c>
      <c r="Q203" s="40"/>
      <c r="R203" s="12">
        <f>P203/13</f>
        <v>116.25</v>
      </c>
      <c r="S203" s="12"/>
      <c r="T203" s="12"/>
      <c r="U203" s="12">
        <f>75*13</f>
        <v>975</v>
      </c>
      <c r="V203" s="12">
        <f>U203/13</f>
        <v>75</v>
      </c>
      <c r="W203" s="12"/>
      <c r="X203" s="12"/>
      <c r="Y203" s="12">
        <f>P203+S203+U203+W203</f>
        <v>2486.25</v>
      </c>
      <c r="Z203" s="12">
        <f>G203*0.01*13</f>
        <v>195</v>
      </c>
      <c r="AA203" s="12">
        <f>Z203/13</f>
        <v>15</v>
      </c>
      <c r="AB203" s="38"/>
      <c r="AC203" s="38"/>
      <c r="AD203" s="38"/>
      <c r="AE203" s="38"/>
      <c r="AF203" s="37"/>
      <c r="AG203" s="38"/>
      <c r="AH203" s="37"/>
      <c r="AI203" s="12"/>
      <c r="AJ203" s="38"/>
      <c r="AK203" s="38"/>
      <c r="AL203" s="38"/>
      <c r="AM203" s="12"/>
      <c r="AN203" s="12"/>
      <c r="AO203" s="12"/>
      <c r="AP203" s="38"/>
      <c r="AQ203" s="37"/>
    </row>
    <row r="204" spans="1:43">
      <c r="A204" s="21">
        <f>A203+1</f>
        <v>151</v>
      </c>
      <c r="C204" s="106" t="s">
        <v>397</v>
      </c>
      <c r="D204" s="118" t="s">
        <v>395</v>
      </c>
      <c r="E204" s="84" t="s">
        <v>79</v>
      </c>
      <c r="F204" s="85" t="s">
        <v>351</v>
      </c>
      <c r="G204" s="26">
        <f>700+50</f>
        <v>750</v>
      </c>
      <c r="H204" s="32">
        <f>G204*12</f>
        <v>9000</v>
      </c>
      <c r="I204" s="32">
        <v>60</v>
      </c>
      <c r="J204" s="36"/>
      <c r="K204" s="32">
        <f>G204</f>
        <v>750</v>
      </c>
      <c r="L204" s="32">
        <v>300</v>
      </c>
      <c r="M204" s="37"/>
      <c r="N204" s="24">
        <v>125</v>
      </c>
      <c r="O204" s="24"/>
      <c r="P204" s="12">
        <f>G204*0.0775*13</f>
        <v>755.625</v>
      </c>
      <c r="Q204" s="40"/>
      <c r="R204" s="12">
        <f>P204/13</f>
        <v>58.125</v>
      </c>
      <c r="S204" s="12"/>
      <c r="T204" s="12"/>
      <c r="U204" s="12">
        <f>G204*0.075*13</f>
        <v>731.25</v>
      </c>
      <c r="V204" s="12">
        <f>U204/13</f>
        <v>56.25</v>
      </c>
      <c r="W204" s="12"/>
      <c r="X204" s="12"/>
      <c r="Y204" s="12">
        <f>P204+S204+U204+W204</f>
        <v>1486.875</v>
      </c>
      <c r="Z204" s="12">
        <f>G204*0.01*13</f>
        <v>97.5</v>
      </c>
      <c r="AA204" s="12">
        <f>Z204/13</f>
        <v>7.5</v>
      </c>
      <c r="AB204" s="38"/>
      <c r="AC204" s="38"/>
      <c r="AD204" s="38"/>
      <c r="AE204" s="38"/>
      <c r="AF204" s="37"/>
      <c r="AG204" s="38"/>
      <c r="AH204" s="37"/>
      <c r="AI204" s="12"/>
      <c r="AJ204" s="38"/>
      <c r="AK204" s="38"/>
      <c r="AL204" s="38"/>
      <c r="AM204" s="12"/>
      <c r="AN204" s="12"/>
      <c r="AO204" s="12"/>
      <c r="AP204" s="38"/>
      <c r="AQ204" s="37"/>
    </row>
    <row r="205" spans="1:43">
      <c r="A205" s="21">
        <f>A204+1</f>
        <v>152</v>
      </c>
      <c r="B205" s="27" t="s">
        <v>398</v>
      </c>
      <c r="C205" s="27" t="s">
        <v>399</v>
      </c>
      <c r="D205" s="118" t="s">
        <v>395</v>
      </c>
      <c r="E205" s="84" t="s">
        <v>79</v>
      </c>
      <c r="F205" s="85" t="s">
        <v>351</v>
      </c>
      <c r="G205" s="26">
        <v>500</v>
      </c>
      <c r="H205" s="32">
        <f>G205*12</f>
        <v>6000</v>
      </c>
      <c r="I205" s="32">
        <v>60</v>
      </c>
      <c r="J205" s="36"/>
      <c r="K205" s="32">
        <f>G205</f>
        <v>500</v>
      </c>
      <c r="L205" s="32">
        <v>300</v>
      </c>
      <c r="M205" s="37"/>
      <c r="N205" s="24">
        <v>125</v>
      </c>
      <c r="O205" s="24"/>
      <c r="P205" s="12">
        <f>G205*0.0775*13</f>
        <v>503.75</v>
      </c>
      <c r="Q205" s="9">
        <f>P205/13</f>
        <v>38.75</v>
      </c>
      <c r="R205" s="12"/>
      <c r="S205" s="12"/>
      <c r="T205" s="12"/>
      <c r="U205" s="12">
        <f>G205*0.075*13</f>
        <v>487.5</v>
      </c>
      <c r="V205" s="12">
        <f>U205/13</f>
        <v>37.5</v>
      </c>
      <c r="W205" s="12"/>
      <c r="X205" s="12"/>
      <c r="Y205" s="12">
        <f>P205+S205+U205+W205</f>
        <v>991.25</v>
      </c>
      <c r="Z205" s="12">
        <f>G205*0.01*13</f>
        <v>65</v>
      </c>
      <c r="AA205" s="12">
        <f>Z205/13</f>
        <v>5</v>
      </c>
      <c r="AB205" s="38"/>
      <c r="AC205" s="38"/>
      <c r="AD205" s="38"/>
      <c r="AE205" s="38"/>
      <c r="AF205" s="37"/>
      <c r="AG205" s="38"/>
      <c r="AH205" s="37"/>
      <c r="AI205" s="12"/>
      <c r="AJ205" s="38"/>
      <c r="AK205" s="38"/>
      <c r="AL205" s="38"/>
      <c r="AM205" s="12"/>
      <c r="AN205" s="12"/>
      <c r="AO205" s="12"/>
      <c r="AP205" s="38"/>
      <c r="AQ205" s="37"/>
    </row>
    <row r="206" spans="1:43">
      <c r="A206" s="21">
        <f>A205+1</f>
        <v>153</v>
      </c>
      <c r="B206" s="27" t="s">
        <v>400</v>
      </c>
      <c r="C206" s="27" t="s">
        <v>135</v>
      </c>
      <c r="D206" s="118" t="s">
        <v>395</v>
      </c>
      <c r="E206" s="84" t="s">
        <v>79</v>
      </c>
      <c r="F206" s="85" t="s">
        <v>351</v>
      </c>
      <c r="G206" s="26">
        <f>567+30+50</f>
        <v>647</v>
      </c>
      <c r="H206" s="32">
        <f>G206*12</f>
        <v>7764</v>
      </c>
      <c r="I206" s="32">
        <v>60</v>
      </c>
      <c r="J206" s="36"/>
      <c r="K206" s="32">
        <f>G206</f>
        <v>647</v>
      </c>
      <c r="L206" s="32">
        <v>300</v>
      </c>
      <c r="M206" s="37"/>
      <c r="N206" s="24">
        <v>125</v>
      </c>
      <c r="O206" s="24"/>
      <c r="P206" s="12">
        <f>G206*0.0775*13</f>
        <v>651.85249999999996</v>
      </c>
      <c r="Q206" s="9">
        <f>P206/13</f>
        <v>50.142499999999998</v>
      </c>
      <c r="R206" s="12"/>
      <c r="S206" s="12"/>
      <c r="T206" s="12"/>
      <c r="U206" s="12">
        <f>G206*0.075*13</f>
        <v>630.82499999999993</v>
      </c>
      <c r="V206" s="12">
        <f>U206/13</f>
        <v>48.524999999999991</v>
      </c>
      <c r="W206" s="12"/>
      <c r="X206" s="12"/>
      <c r="Y206" s="12">
        <f>P206+S206+U206+W206</f>
        <v>1282.6774999999998</v>
      </c>
      <c r="Z206" s="12">
        <f>G206*0.01*13</f>
        <v>84.11</v>
      </c>
      <c r="AA206" s="12">
        <f>Z206/13</f>
        <v>6.47</v>
      </c>
      <c r="AB206" s="38"/>
      <c r="AC206" s="38"/>
      <c r="AD206" s="38"/>
      <c r="AE206" s="38"/>
      <c r="AF206" s="37"/>
      <c r="AG206" s="12"/>
      <c r="AH206" s="37"/>
      <c r="AI206" s="12"/>
      <c r="AJ206" s="38"/>
      <c r="AK206" s="38"/>
      <c r="AL206" s="38"/>
      <c r="AM206" s="12"/>
      <c r="AN206" s="12"/>
      <c r="AO206" s="12"/>
      <c r="AP206" s="38"/>
      <c r="AQ206" s="37"/>
    </row>
    <row r="207" spans="1:43">
      <c r="A207" s="21">
        <f t="shared" ref="A207:A210" si="129">A206+1</f>
        <v>154</v>
      </c>
      <c r="B207" s="27" t="s">
        <v>401</v>
      </c>
      <c r="C207" s="27" t="s">
        <v>137</v>
      </c>
      <c r="D207" s="118" t="s">
        <v>395</v>
      </c>
      <c r="E207" s="84" t="s">
        <v>79</v>
      </c>
      <c r="F207" s="85" t="s">
        <v>351</v>
      </c>
      <c r="G207" s="26">
        <v>417</v>
      </c>
      <c r="H207" s="32">
        <f t="shared" ref="H207:H209" si="130">G207*12</f>
        <v>5004</v>
      </c>
      <c r="I207" s="32">
        <v>60</v>
      </c>
      <c r="J207" s="36"/>
      <c r="K207" s="32">
        <f t="shared" ref="K207:K209" si="131">G207</f>
        <v>417</v>
      </c>
      <c r="L207" s="32">
        <v>300</v>
      </c>
      <c r="M207" s="37"/>
      <c r="N207" s="24">
        <v>125</v>
      </c>
      <c r="O207" s="24"/>
      <c r="P207" s="12">
        <f t="shared" ref="P207:P209" si="132">G207*0.0775*13</f>
        <v>420.12750000000005</v>
      </c>
      <c r="Q207" s="9">
        <f t="shared" ref="Q207" si="133">P207/13</f>
        <v>32.317500000000003</v>
      </c>
      <c r="R207" s="12"/>
      <c r="S207" s="12"/>
      <c r="T207" s="12"/>
      <c r="U207" s="12">
        <f t="shared" ref="U207:U209" si="134">G207*0.075*13</f>
        <v>406.57499999999999</v>
      </c>
      <c r="V207" s="12">
        <f t="shared" ref="V207:V209" si="135">U207/13</f>
        <v>31.274999999999999</v>
      </c>
      <c r="W207" s="12"/>
      <c r="X207" s="12"/>
      <c r="Y207" s="12">
        <f t="shared" ref="Y207:Y209" si="136">P207+S207+U207+W207+0.01</f>
        <v>826.71250000000009</v>
      </c>
      <c r="Z207" s="12">
        <f t="shared" ref="Z207:Z209" si="137">G207*0.01*13</f>
        <v>54.21</v>
      </c>
      <c r="AA207" s="12">
        <f t="shared" ref="AA207:AA209" si="138">Z207/13</f>
        <v>4.17</v>
      </c>
      <c r="AB207" s="38"/>
      <c r="AC207" s="38"/>
      <c r="AD207" s="38"/>
      <c r="AE207" s="38"/>
      <c r="AF207" s="37"/>
      <c r="AG207" s="12"/>
      <c r="AH207" s="37"/>
      <c r="AI207" s="12"/>
      <c r="AJ207" s="38"/>
      <c r="AK207" s="38"/>
      <c r="AL207" s="38"/>
      <c r="AM207" s="12"/>
      <c r="AN207" s="12"/>
      <c r="AO207" s="12"/>
      <c r="AP207" s="38"/>
      <c r="AQ207" s="37"/>
    </row>
    <row r="208" spans="1:43">
      <c r="A208" s="21">
        <f t="shared" si="129"/>
        <v>155</v>
      </c>
      <c r="B208" s="27" t="s">
        <v>402</v>
      </c>
      <c r="C208" s="27" t="s">
        <v>137</v>
      </c>
      <c r="D208" s="118" t="s">
        <v>395</v>
      </c>
      <c r="E208" s="84" t="s">
        <v>79</v>
      </c>
      <c r="F208" s="85" t="s">
        <v>351</v>
      </c>
      <c r="G208" s="26">
        <v>417</v>
      </c>
      <c r="H208" s="32">
        <f t="shared" si="130"/>
        <v>5004</v>
      </c>
      <c r="I208" s="32">
        <v>60</v>
      </c>
      <c r="J208" s="36"/>
      <c r="K208" s="32">
        <f t="shared" si="131"/>
        <v>417</v>
      </c>
      <c r="L208" s="32">
        <v>300</v>
      </c>
      <c r="M208" s="37"/>
      <c r="N208" s="24">
        <v>125</v>
      </c>
      <c r="O208" s="24"/>
      <c r="P208" s="12">
        <f t="shared" si="132"/>
        <v>420.12750000000005</v>
      </c>
      <c r="Q208" s="9"/>
      <c r="R208" s="12">
        <f>P208/13</f>
        <v>32.317500000000003</v>
      </c>
      <c r="S208" s="12"/>
      <c r="T208" s="12"/>
      <c r="U208" s="12">
        <f t="shared" si="134"/>
        <v>406.57499999999999</v>
      </c>
      <c r="V208" s="12">
        <f t="shared" si="135"/>
        <v>31.274999999999999</v>
      </c>
      <c r="W208" s="12"/>
      <c r="X208" s="12"/>
      <c r="Y208" s="12">
        <f t="shared" si="136"/>
        <v>826.71250000000009</v>
      </c>
      <c r="Z208" s="12">
        <f t="shared" si="137"/>
        <v>54.21</v>
      </c>
      <c r="AA208" s="12">
        <f t="shared" si="138"/>
        <v>4.17</v>
      </c>
      <c r="AB208" s="38"/>
      <c r="AC208" s="38"/>
      <c r="AD208" s="38"/>
      <c r="AE208" s="38"/>
      <c r="AF208" s="37"/>
      <c r="AG208" s="12"/>
      <c r="AH208" s="37"/>
      <c r="AI208" s="12"/>
      <c r="AJ208" s="38"/>
      <c r="AK208" s="38"/>
      <c r="AL208" s="38"/>
      <c r="AM208" s="12"/>
      <c r="AN208" s="12"/>
      <c r="AO208" s="12"/>
      <c r="AP208" s="38"/>
      <c r="AQ208" s="37"/>
    </row>
    <row r="209" spans="1:43">
      <c r="A209" s="21">
        <f t="shared" si="129"/>
        <v>156</v>
      </c>
      <c r="B209" s="27" t="s">
        <v>403</v>
      </c>
      <c r="C209" s="27" t="s">
        <v>137</v>
      </c>
      <c r="D209" s="118" t="s">
        <v>395</v>
      </c>
      <c r="E209" s="84" t="s">
        <v>79</v>
      </c>
      <c r="F209" s="85" t="s">
        <v>351</v>
      </c>
      <c r="G209" s="26">
        <v>417</v>
      </c>
      <c r="H209" s="32">
        <f t="shared" si="130"/>
        <v>5004</v>
      </c>
      <c r="I209" s="32">
        <v>60</v>
      </c>
      <c r="J209" s="36"/>
      <c r="K209" s="32">
        <f t="shared" si="131"/>
        <v>417</v>
      </c>
      <c r="L209" s="32">
        <v>300</v>
      </c>
      <c r="M209" s="37"/>
      <c r="N209" s="24">
        <v>125</v>
      </c>
      <c r="O209" s="24"/>
      <c r="P209" s="12">
        <f t="shared" si="132"/>
        <v>420.12750000000005</v>
      </c>
      <c r="Q209" s="9"/>
      <c r="R209" s="12">
        <f>P209/13</f>
        <v>32.317500000000003</v>
      </c>
      <c r="S209" s="12"/>
      <c r="T209" s="12"/>
      <c r="U209" s="12">
        <f t="shared" si="134"/>
        <v>406.57499999999999</v>
      </c>
      <c r="V209" s="12">
        <f t="shared" si="135"/>
        <v>31.274999999999999</v>
      </c>
      <c r="W209" s="12"/>
      <c r="X209" s="12"/>
      <c r="Y209" s="12">
        <f t="shared" si="136"/>
        <v>826.71250000000009</v>
      </c>
      <c r="Z209" s="12">
        <f t="shared" si="137"/>
        <v>54.21</v>
      </c>
      <c r="AA209" s="12">
        <f t="shared" si="138"/>
        <v>4.17</v>
      </c>
      <c r="AB209" s="38"/>
      <c r="AC209" s="38"/>
      <c r="AD209" s="38"/>
      <c r="AE209" s="38"/>
      <c r="AF209" s="37"/>
      <c r="AG209" s="12"/>
      <c r="AH209" s="37"/>
      <c r="AI209" s="12"/>
      <c r="AJ209" s="38"/>
      <c r="AK209" s="38"/>
      <c r="AL209" s="38"/>
      <c r="AM209" s="12"/>
      <c r="AN209" s="12"/>
      <c r="AO209" s="12"/>
      <c r="AP209" s="38"/>
      <c r="AQ209" s="37"/>
    </row>
    <row r="210" spans="1:43">
      <c r="A210" s="21">
        <f t="shared" si="129"/>
        <v>157</v>
      </c>
      <c r="B210" s="27" t="s">
        <v>404</v>
      </c>
      <c r="C210" s="27" t="s">
        <v>137</v>
      </c>
      <c r="D210" s="118" t="s">
        <v>395</v>
      </c>
      <c r="E210" s="84" t="s">
        <v>79</v>
      </c>
      <c r="F210" s="85" t="s">
        <v>351</v>
      </c>
      <c r="G210" s="26">
        <v>417</v>
      </c>
      <c r="H210" s="32">
        <f>G210*12</f>
        <v>5004</v>
      </c>
      <c r="I210" s="32">
        <v>60</v>
      </c>
      <c r="J210" s="32"/>
      <c r="K210" s="32">
        <f>G210</f>
        <v>417</v>
      </c>
      <c r="L210" s="32">
        <v>300</v>
      </c>
      <c r="M210" s="12"/>
      <c r="N210" s="24">
        <v>125</v>
      </c>
      <c r="O210" s="24"/>
      <c r="P210" s="12">
        <f>G210*0.0775*13</f>
        <v>420.12750000000005</v>
      </c>
      <c r="Q210" s="9"/>
      <c r="R210" s="12">
        <f>P210/13</f>
        <v>32.317500000000003</v>
      </c>
      <c r="S210" s="12"/>
      <c r="T210" s="12"/>
      <c r="U210" s="12">
        <f>G210*0.075*13</f>
        <v>406.57499999999999</v>
      </c>
      <c r="V210" s="12">
        <f>U210/13</f>
        <v>31.274999999999999</v>
      </c>
      <c r="W210" s="12"/>
      <c r="X210" s="12"/>
      <c r="Y210" s="12">
        <f>P210+S210+U210+W210+0.01</f>
        <v>826.71250000000009</v>
      </c>
      <c r="Z210" s="12">
        <f>G210*0.01*13</f>
        <v>54.21</v>
      </c>
      <c r="AA210" s="12">
        <f>Z210/13</f>
        <v>4.17</v>
      </c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</row>
    <row r="211" spans="1:43">
      <c r="A211" s="21"/>
      <c r="B211" s="15"/>
      <c r="C211" s="86" t="s">
        <v>405</v>
      </c>
      <c r="D211" s="100"/>
      <c r="E211" s="84"/>
      <c r="F211" s="85"/>
      <c r="G211" s="87">
        <f>SUM(G203:G210)</f>
        <v>5065</v>
      </c>
      <c r="H211" s="30">
        <f>SUM(H203:H210)</f>
        <v>60780</v>
      </c>
      <c r="I211" s="30">
        <f>SUM(I203:I210)</f>
        <v>480</v>
      </c>
      <c r="J211" s="30"/>
      <c r="K211" s="30">
        <f>SUM(K203:K210)</f>
        <v>5065</v>
      </c>
      <c r="L211" s="30">
        <f>SUM(L203:L210)</f>
        <v>2400</v>
      </c>
      <c r="M211" s="20"/>
      <c r="N211" s="31">
        <f>SUM(N203:N210)</f>
        <v>1000</v>
      </c>
      <c r="O211" s="31"/>
      <c r="P211" s="20">
        <f>SUM(P203:P210)+0.01</f>
        <v>5102.9975000000013</v>
      </c>
      <c r="Q211" s="20">
        <f>SUM(Q203:Q210)</f>
        <v>121.21000000000001</v>
      </c>
      <c r="R211" s="20">
        <f>SUM(R203:R210)+0.01</f>
        <v>271.33749999999998</v>
      </c>
      <c r="S211" s="20">
        <f>SUM(S203:S210)</f>
        <v>0</v>
      </c>
      <c r="T211" s="20">
        <f>SUM(T203:T210)</f>
        <v>0</v>
      </c>
      <c r="U211" s="20">
        <f>SUM(U203:U210)+0.01</f>
        <v>4450.8849999999993</v>
      </c>
      <c r="V211" s="20">
        <f>SUM(V203:V210)+0.01</f>
        <v>342.38499999999993</v>
      </c>
      <c r="W211" s="20">
        <f>SUM(W203:X210)</f>
        <v>0</v>
      </c>
      <c r="X211" s="20">
        <f>SUM(X203:X210)</f>
        <v>0</v>
      </c>
      <c r="Y211" s="20">
        <f>SUM(Y203:Y210)-0.01</f>
        <v>9553.8924999999981</v>
      </c>
      <c r="Z211" s="20">
        <f>SUM(Z203:Z210)</f>
        <v>658.45</v>
      </c>
      <c r="AA211" s="20">
        <f>SUM(AA203:AA210)</f>
        <v>50.650000000000006</v>
      </c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</row>
    <row r="212" spans="1:43">
      <c r="A212" s="21">
        <f>A210+1</f>
        <v>158</v>
      </c>
      <c r="B212" s="112" t="s">
        <v>406</v>
      </c>
      <c r="C212" s="51" t="s">
        <v>407</v>
      </c>
      <c r="D212" s="83" t="s">
        <v>408</v>
      </c>
      <c r="E212" s="84" t="s">
        <v>79</v>
      </c>
      <c r="F212" s="85" t="s">
        <v>351</v>
      </c>
      <c r="G212" s="26">
        <v>900</v>
      </c>
      <c r="H212" s="32">
        <f t="shared" ref="H212:H247" si="139">G212*12</f>
        <v>10800</v>
      </c>
      <c r="I212" s="32">
        <v>60</v>
      </c>
      <c r="J212" s="36"/>
      <c r="K212" s="32">
        <f t="shared" ref="K212:K247" si="140">G212</f>
        <v>900</v>
      </c>
      <c r="L212" s="32">
        <v>300</v>
      </c>
      <c r="M212" s="37"/>
      <c r="N212" s="24">
        <v>125</v>
      </c>
      <c r="O212" s="24"/>
      <c r="P212" s="12">
        <f>G212*0.0775*13</f>
        <v>906.75</v>
      </c>
      <c r="Q212" s="9"/>
      <c r="R212" s="12">
        <f>P212/13</f>
        <v>69.75</v>
      </c>
      <c r="S212" s="12"/>
      <c r="T212" s="12"/>
      <c r="U212" s="12">
        <f>G212*0.075*13</f>
        <v>877.5</v>
      </c>
      <c r="V212" s="12">
        <f t="shared" ref="V212:V247" si="141">U212/13</f>
        <v>67.5</v>
      </c>
      <c r="W212" s="12"/>
      <c r="X212" s="12"/>
      <c r="Y212" s="12">
        <f t="shared" ref="Y212:Y219" si="142">P212+S212+U212+W212</f>
        <v>1784.25</v>
      </c>
      <c r="Z212" s="12">
        <f>G212*0.01*13</f>
        <v>117</v>
      </c>
      <c r="AA212" s="12">
        <f t="shared" ref="AA212:AA247" si="143">Z212/13</f>
        <v>9</v>
      </c>
      <c r="AB212" s="38"/>
      <c r="AC212" s="38"/>
      <c r="AD212" s="38"/>
      <c r="AE212" s="38"/>
      <c r="AF212" s="37"/>
      <c r="AG212" s="38"/>
      <c r="AH212" s="37"/>
      <c r="AI212" s="12"/>
      <c r="AJ212" s="38"/>
      <c r="AK212" s="38"/>
      <c r="AL212" s="38"/>
      <c r="AM212" s="12"/>
      <c r="AN212" s="12"/>
      <c r="AO212" s="12"/>
      <c r="AP212" s="38"/>
      <c r="AQ212" s="37"/>
    </row>
    <row r="213" spans="1:43">
      <c r="A213" s="21">
        <f>A212+1</f>
        <v>159</v>
      </c>
      <c r="B213" s="27" t="s">
        <v>409</v>
      </c>
      <c r="C213" s="51" t="s">
        <v>410</v>
      </c>
      <c r="D213" s="83" t="s">
        <v>408</v>
      </c>
      <c r="E213" s="84" t="s">
        <v>79</v>
      </c>
      <c r="F213" s="85" t="s">
        <v>351</v>
      </c>
      <c r="G213" s="26">
        <f>740+30+50</f>
        <v>820</v>
      </c>
      <c r="H213" s="32">
        <f t="shared" si="139"/>
        <v>9840</v>
      </c>
      <c r="I213" s="32">
        <v>60</v>
      </c>
      <c r="J213" s="36"/>
      <c r="K213" s="32">
        <f t="shared" si="140"/>
        <v>820</v>
      </c>
      <c r="L213" s="32">
        <v>300</v>
      </c>
      <c r="M213" s="37"/>
      <c r="N213" s="24">
        <v>125</v>
      </c>
      <c r="O213" s="24"/>
      <c r="P213" s="12">
        <f>G213*0.0775*13</f>
        <v>826.15</v>
      </c>
      <c r="Q213" s="9"/>
      <c r="R213" s="12">
        <f>P213/13</f>
        <v>63.55</v>
      </c>
      <c r="S213" s="12"/>
      <c r="T213" s="12"/>
      <c r="U213" s="12">
        <f>G213*0.075*13</f>
        <v>799.5</v>
      </c>
      <c r="V213" s="12">
        <f t="shared" si="141"/>
        <v>61.5</v>
      </c>
      <c r="W213" s="12"/>
      <c r="X213" s="12"/>
      <c r="Y213" s="12">
        <f t="shared" si="142"/>
        <v>1625.65</v>
      </c>
      <c r="Z213" s="12">
        <f>G213*0.01*13</f>
        <v>106.6</v>
      </c>
      <c r="AA213" s="12">
        <f t="shared" si="143"/>
        <v>8.1999999999999993</v>
      </c>
      <c r="AB213" s="38"/>
      <c r="AC213" s="38"/>
      <c r="AD213" s="38"/>
      <c r="AE213" s="38"/>
      <c r="AF213" s="37"/>
      <c r="AG213" s="38"/>
      <c r="AH213" s="37"/>
      <c r="AI213" s="12"/>
      <c r="AJ213" s="38"/>
      <c r="AK213" s="38"/>
      <c r="AL213" s="38"/>
      <c r="AM213" s="12"/>
      <c r="AN213" s="12"/>
      <c r="AO213" s="12"/>
      <c r="AP213" s="38"/>
      <c r="AQ213" s="37"/>
    </row>
    <row r="214" spans="1:43">
      <c r="A214" s="21">
        <f>A213+1</f>
        <v>160</v>
      </c>
      <c r="B214" s="27" t="s">
        <v>411</v>
      </c>
      <c r="C214" s="56" t="s">
        <v>162</v>
      </c>
      <c r="D214" s="83" t="s">
        <v>408</v>
      </c>
      <c r="E214" s="84" t="s">
        <v>79</v>
      </c>
      <c r="F214" s="85" t="s">
        <v>351</v>
      </c>
      <c r="G214" s="26">
        <f>567+30+50</f>
        <v>647</v>
      </c>
      <c r="H214" s="32">
        <f>G214*12</f>
        <v>7764</v>
      </c>
      <c r="I214" s="32">
        <v>60</v>
      </c>
      <c r="J214" s="32"/>
      <c r="K214" s="32">
        <f>G214</f>
        <v>647</v>
      </c>
      <c r="L214" s="32">
        <v>300</v>
      </c>
      <c r="M214" s="12"/>
      <c r="N214" s="24">
        <v>125</v>
      </c>
      <c r="O214" s="24"/>
      <c r="P214" s="12">
        <f>G214*0.0775*13</f>
        <v>651.85249999999996</v>
      </c>
      <c r="Q214" s="9">
        <f>P214/13</f>
        <v>50.142499999999998</v>
      </c>
      <c r="R214" s="12"/>
      <c r="S214" s="12"/>
      <c r="T214" s="12"/>
      <c r="U214" s="12">
        <f>G214*0.075*13</f>
        <v>630.82499999999993</v>
      </c>
      <c r="V214" s="12">
        <f>U214/13</f>
        <v>48.524999999999991</v>
      </c>
      <c r="W214" s="12"/>
      <c r="X214" s="12"/>
      <c r="Y214" s="12">
        <f>P214+S214+U214+W214</f>
        <v>1282.6774999999998</v>
      </c>
      <c r="Z214" s="12">
        <f>G214*0.01*13</f>
        <v>84.11</v>
      </c>
      <c r="AA214" s="12">
        <f>Z214/13</f>
        <v>6.47</v>
      </c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</row>
    <row r="215" spans="1:43">
      <c r="A215" s="21">
        <f>A214+1</f>
        <v>161</v>
      </c>
      <c r="B215" s="27" t="s">
        <v>412</v>
      </c>
      <c r="C215" s="51" t="s">
        <v>410</v>
      </c>
      <c r="D215" s="83" t="s">
        <v>408</v>
      </c>
      <c r="E215" s="84" t="s">
        <v>79</v>
      </c>
      <c r="F215" s="85" t="s">
        <v>351</v>
      </c>
      <c r="G215" s="26">
        <f>740+30+50</f>
        <v>820</v>
      </c>
      <c r="H215" s="32">
        <f>G215*12</f>
        <v>9840</v>
      </c>
      <c r="I215" s="32">
        <v>60</v>
      </c>
      <c r="J215" s="36"/>
      <c r="K215" s="32">
        <f>G215</f>
        <v>820</v>
      </c>
      <c r="L215" s="32">
        <v>300</v>
      </c>
      <c r="M215" s="37"/>
      <c r="N215" s="24">
        <v>125</v>
      </c>
      <c r="O215" s="24"/>
      <c r="P215" s="12"/>
      <c r="Q215" s="12"/>
      <c r="R215" s="12"/>
      <c r="S215" s="12"/>
      <c r="T215" s="12"/>
      <c r="U215" s="12">
        <f>G215*0.075*13</f>
        <v>799.5</v>
      </c>
      <c r="V215" s="12">
        <f>U215/13</f>
        <v>61.5</v>
      </c>
      <c r="W215" s="12">
        <f>G215*0.06*13</f>
        <v>639.59999999999991</v>
      </c>
      <c r="X215" s="12">
        <f>W215/12</f>
        <v>53.29999999999999</v>
      </c>
      <c r="Y215" s="12">
        <f>P215+S215+U215+W215</f>
        <v>1439.1</v>
      </c>
      <c r="Z215" s="12">
        <f>G215*0.01*13</f>
        <v>106.6</v>
      </c>
      <c r="AA215" s="12">
        <f>Z215/13</f>
        <v>8.1999999999999993</v>
      </c>
      <c r="AB215" s="38"/>
      <c r="AC215" s="38"/>
      <c r="AD215" s="38"/>
      <c r="AE215" s="38"/>
      <c r="AF215" s="37"/>
      <c r="AG215" s="38"/>
      <c r="AH215" s="37"/>
      <c r="AI215" s="12"/>
      <c r="AJ215" s="38"/>
      <c r="AK215" s="38"/>
      <c r="AL215" s="38"/>
      <c r="AM215" s="12"/>
      <c r="AN215" s="12"/>
      <c r="AO215" s="12"/>
      <c r="AP215" s="38"/>
      <c r="AQ215" s="37"/>
    </row>
    <row r="216" spans="1:43">
      <c r="A216" s="21">
        <f>A215+1</f>
        <v>162</v>
      </c>
      <c r="B216" s="27" t="s">
        <v>413</v>
      </c>
      <c r="C216" s="51" t="s">
        <v>410</v>
      </c>
      <c r="D216" s="83" t="s">
        <v>408</v>
      </c>
      <c r="E216" s="84" t="s">
        <v>79</v>
      </c>
      <c r="F216" s="85" t="s">
        <v>351</v>
      </c>
      <c r="G216" s="26">
        <f>737+30+50</f>
        <v>817</v>
      </c>
      <c r="H216" s="32">
        <f t="shared" si="139"/>
        <v>9804</v>
      </c>
      <c r="I216" s="32">
        <v>60</v>
      </c>
      <c r="J216" s="36"/>
      <c r="K216" s="32">
        <f t="shared" si="140"/>
        <v>817</v>
      </c>
      <c r="L216" s="32">
        <v>300</v>
      </c>
      <c r="M216" s="37"/>
      <c r="N216" s="24">
        <v>125</v>
      </c>
      <c r="O216" s="24"/>
      <c r="P216" s="12"/>
      <c r="Q216" s="9"/>
      <c r="R216" s="12"/>
      <c r="S216" s="12"/>
      <c r="T216" s="12"/>
      <c r="U216" s="12">
        <f t="shared" ref="U216:U250" si="144">G216*0.075*13</f>
        <v>796.57499999999993</v>
      </c>
      <c r="V216" s="12">
        <f t="shared" si="141"/>
        <v>61.274999999999991</v>
      </c>
      <c r="W216" s="12">
        <f>G216*0.06*13</f>
        <v>637.26</v>
      </c>
      <c r="X216" s="12">
        <f>W216/12</f>
        <v>53.104999999999997</v>
      </c>
      <c r="Y216" s="12">
        <f t="shared" si="142"/>
        <v>1433.835</v>
      </c>
      <c r="Z216" s="12">
        <f t="shared" ref="Z216:Z247" si="145">G216*0.01*13</f>
        <v>106.21</v>
      </c>
      <c r="AA216" s="12">
        <f t="shared" si="143"/>
        <v>8.17</v>
      </c>
      <c r="AB216" s="38"/>
      <c r="AC216" s="38"/>
      <c r="AD216" s="38"/>
      <c r="AE216" s="38"/>
      <c r="AF216" s="37"/>
      <c r="AG216" s="38"/>
      <c r="AH216" s="37"/>
      <c r="AI216" s="12"/>
      <c r="AJ216" s="38"/>
      <c r="AK216" s="38"/>
      <c r="AL216" s="38"/>
      <c r="AM216" s="12"/>
      <c r="AN216" s="12"/>
      <c r="AO216" s="12"/>
      <c r="AP216" s="38"/>
      <c r="AQ216" s="37"/>
    </row>
    <row r="217" spans="1:43">
      <c r="A217" s="21">
        <f t="shared" ref="A217:A247" si="146">A216+1</f>
        <v>163</v>
      </c>
      <c r="B217" s="27" t="s">
        <v>414</v>
      </c>
      <c r="C217" s="56" t="s">
        <v>415</v>
      </c>
      <c r="D217" s="83" t="s">
        <v>408</v>
      </c>
      <c r="E217" s="84" t="s">
        <v>79</v>
      </c>
      <c r="F217" s="85" t="s">
        <v>351</v>
      </c>
      <c r="G217" s="26">
        <f>605.15+30+50</f>
        <v>685.15</v>
      </c>
      <c r="H217" s="32">
        <f t="shared" si="139"/>
        <v>8221.7999999999993</v>
      </c>
      <c r="I217" s="32">
        <v>60</v>
      </c>
      <c r="J217" s="36"/>
      <c r="K217" s="32">
        <f t="shared" si="140"/>
        <v>685.15</v>
      </c>
      <c r="L217" s="32">
        <v>300</v>
      </c>
      <c r="M217" s="37"/>
      <c r="N217" s="24">
        <v>125</v>
      </c>
      <c r="O217" s="24"/>
      <c r="P217" s="12">
        <f>G217*0.0775*13</f>
        <v>690.28862500000002</v>
      </c>
      <c r="Q217" s="9">
        <f>P217/13</f>
        <v>53.099125000000001</v>
      </c>
      <c r="R217" s="12"/>
      <c r="S217" s="12"/>
      <c r="T217" s="12"/>
      <c r="U217" s="12">
        <f t="shared" si="144"/>
        <v>668.02125000000001</v>
      </c>
      <c r="V217" s="12">
        <f t="shared" si="141"/>
        <v>51.386250000000004</v>
      </c>
      <c r="W217" s="12"/>
      <c r="X217" s="12"/>
      <c r="Y217" s="12">
        <f t="shared" si="142"/>
        <v>1358.3098749999999</v>
      </c>
      <c r="Z217" s="12">
        <f t="shared" si="145"/>
        <v>89.069499999999991</v>
      </c>
      <c r="AA217" s="12">
        <f t="shared" si="143"/>
        <v>6.8514999999999997</v>
      </c>
      <c r="AB217" s="38"/>
      <c r="AC217" s="38"/>
      <c r="AD217" s="38"/>
      <c r="AE217" s="38"/>
      <c r="AF217" s="37"/>
      <c r="AG217" s="38"/>
      <c r="AH217" s="37"/>
      <c r="AI217" s="12"/>
      <c r="AJ217" s="38"/>
      <c r="AK217" s="38"/>
      <c r="AL217" s="38"/>
      <c r="AM217" s="12"/>
      <c r="AN217" s="12"/>
      <c r="AO217" s="12"/>
      <c r="AP217" s="38"/>
      <c r="AQ217" s="37"/>
    </row>
    <row r="218" spans="1:43">
      <c r="A218" s="21">
        <f t="shared" si="146"/>
        <v>164</v>
      </c>
      <c r="B218" s="27" t="s">
        <v>416</v>
      </c>
      <c r="C218" s="56" t="s">
        <v>415</v>
      </c>
      <c r="D218" s="83" t="s">
        <v>408</v>
      </c>
      <c r="E218" s="84" t="s">
        <v>79</v>
      </c>
      <c r="F218" s="85" t="s">
        <v>351</v>
      </c>
      <c r="G218" s="26">
        <f>605.15+30+50</f>
        <v>685.15</v>
      </c>
      <c r="H218" s="32">
        <f>G218*12</f>
        <v>8221.7999999999993</v>
      </c>
      <c r="I218" s="32">
        <v>60</v>
      </c>
      <c r="J218" s="36"/>
      <c r="K218" s="32">
        <f>G218</f>
        <v>685.15</v>
      </c>
      <c r="L218" s="32">
        <v>300</v>
      </c>
      <c r="M218" s="37"/>
      <c r="N218" s="24">
        <v>125</v>
      </c>
      <c r="O218" s="24"/>
      <c r="P218" s="12">
        <f>G218*0.0775*13</f>
        <v>690.28862500000002</v>
      </c>
      <c r="Q218" s="40"/>
      <c r="R218" s="12">
        <f>P218/13</f>
        <v>53.099125000000001</v>
      </c>
      <c r="S218" s="12"/>
      <c r="T218" s="12"/>
      <c r="U218" s="12">
        <f>G218*0.075*13</f>
        <v>668.02125000000001</v>
      </c>
      <c r="V218" s="12">
        <f t="shared" si="141"/>
        <v>51.386250000000004</v>
      </c>
      <c r="W218" s="12"/>
      <c r="X218" s="12"/>
      <c r="Y218" s="12">
        <f t="shared" si="142"/>
        <v>1358.3098749999999</v>
      </c>
      <c r="Z218" s="12">
        <f>G218*0.01*13</f>
        <v>89.069499999999991</v>
      </c>
      <c r="AA218" s="12">
        <f t="shared" si="143"/>
        <v>6.8514999999999997</v>
      </c>
      <c r="AB218" s="38"/>
      <c r="AC218" s="38"/>
      <c r="AD218" s="38"/>
      <c r="AE218" s="38"/>
      <c r="AF218" s="37"/>
      <c r="AG218" s="38"/>
      <c r="AH218" s="37"/>
      <c r="AI218" s="12"/>
      <c r="AJ218" s="38"/>
      <c r="AK218" s="38"/>
      <c r="AL218" s="38"/>
      <c r="AM218" s="12"/>
      <c r="AN218" s="12"/>
      <c r="AO218" s="12"/>
      <c r="AP218" s="38"/>
      <c r="AQ218" s="37"/>
    </row>
    <row r="219" spans="1:43">
      <c r="A219" s="21">
        <f t="shared" si="146"/>
        <v>165</v>
      </c>
      <c r="B219" s="27" t="s">
        <v>417</v>
      </c>
      <c r="C219" s="56" t="s">
        <v>415</v>
      </c>
      <c r="D219" s="83" t="s">
        <v>408</v>
      </c>
      <c r="E219" s="84" t="s">
        <v>79</v>
      </c>
      <c r="F219" s="85" t="s">
        <v>351</v>
      </c>
      <c r="G219" s="26">
        <f>605.15+30+50</f>
        <v>685.15</v>
      </c>
      <c r="H219" s="32">
        <f>G219*12</f>
        <v>8221.7999999999993</v>
      </c>
      <c r="I219" s="32">
        <v>60</v>
      </c>
      <c r="J219" s="36"/>
      <c r="K219" s="32">
        <f t="shared" si="140"/>
        <v>685.15</v>
      </c>
      <c r="L219" s="32">
        <v>300</v>
      </c>
      <c r="M219" s="37"/>
      <c r="N219" s="24">
        <v>125</v>
      </c>
      <c r="O219" s="24"/>
      <c r="P219" s="12"/>
      <c r="Q219" s="12"/>
      <c r="R219" s="12"/>
      <c r="S219" s="12"/>
      <c r="T219" s="12"/>
      <c r="U219" s="12">
        <f t="shared" si="144"/>
        <v>668.02125000000001</v>
      </c>
      <c r="V219" s="12">
        <f t="shared" si="141"/>
        <v>51.386250000000004</v>
      </c>
      <c r="W219" s="12">
        <f>G219*0.06*13</f>
        <v>534.41699999999992</v>
      </c>
      <c r="X219" s="12">
        <f>W219/12</f>
        <v>44.534749999999995</v>
      </c>
      <c r="Y219" s="12">
        <f t="shared" si="142"/>
        <v>1202.4382499999999</v>
      </c>
      <c r="Z219" s="12">
        <f t="shared" si="145"/>
        <v>89.069499999999991</v>
      </c>
      <c r="AA219" s="12">
        <f t="shared" si="143"/>
        <v>6.8514999999999997</v>
      </c>
      <c r="AB219" s="38"/>
      <c r="AC219" s="38"/>
      <c r="AD219" s="38"/>
      <c r="AE219" s="38"/>
      <c r="AF219" s="37"/>
      <c r="AG219" s="38"/>
      <c r="AH219" s="37"/>
      <c r="AI219" s="12"/>
      <c r="AJ219" s="38"/>
      <c r="AK219" s="38"/>
      <c r="AL219" s="38"/>
      <c r="AM219" s="12"/>
      <c r="AN219" s="12"/>
      <c r="AO219" s="12"/>
      <c r="AP219" s="38"/>
      <c r="AQ219" s="37"/>
    </row>
    <row r="220" spans="1:43">
      <c r="A220" s="21">
        <f t="shared" si="146"/>
        <v>166</v>
      </c>
      <c r="B220" s="27" t="s">
        <v>418</v>
      </c>
      <c r="C220" s="56" t="s">
        <v>419</v>
      </c>
      <c r="D220" s="83" t="s">
        <v>408</v>
      </c>
      <c r="E220" s="84" t="s">
        <v>79</v>
      </c>
      <c r="F220" s="85" t="s">
        <v>351</v>
      </c>
      <c r="G220" s="26">
        <f>547+30+50</f>
        <v>627</v>
      </c>
      <c r="H220" s="32">
        <f t="shared" si="139"/>
        <v>7524</v>
      </c>
      <c r="I220" s="32">
        <v>60</v>
      </c>
      <c r="J220" s="36"/>
      <c r="K220" s="32">
        <f t="shared" si="140"/>
        <v>627</v>
      </c>
      <c r="L220" s="32">
        <v>300</v>
      </c>
      <c r="M220" s="37"/>
      <c r="N220" s="24">
        <v>125</v>
      </c>
      <c r="O220" s="24"/>
      <c r="P220" s="12">
        <f>G220*0.0775*13</f>
        <v>631.70249999999999</v>
      </c>
      <c r="Q220" s="40"/>
      <c r="R220" s="12">
        <f>P220/13</f>
        <v>48.592500000000001</v>
      </c>
      <c r="S220" s="12"/>
      <c r="T220" s="12"/>
      <c r="U220" s="12">
        <f t="shared" si="144"/>
        <v>611.32499999999993</v>
      </c>
      <c r="V220" s="12">
        <f t="shared" si="141"/>
        <v>47.024999999999991</v>
      </c>
      <c r="W220" s="12"/>
      <c r="X220" s="12"/>
      <c r="Y220" s="12">
        <f>P220+S220+U220+W220</f>
        <v>1243.0274999999999</v>
      </c>
      <c r="Z220" s="12">
        <f t="shared" si="145"/>
        <v>81.510000000000005</v>
      </c>
      <c r="AA220" s="12">
        <f t="shared" si="143"/>
        <v>6.2700000000000005</v>
      </c>
      <c r="AB220" s="38"/>
      <c r="AC220" s="38"/>
      <c r="AD220" s="38"/>
      <c r="AE220" s="38"/>
      <c r="AF220" s="37"/>
      <c r="AG220" s="37"/>
      <c r="AH220" s="37"/>
      <c r="AI220" s="12"/>
      <c r="AJ220" s="38"/>
      <c r="AK220" s="38"/>
      <c r="AL220" s="38"/>
      <c r="AM220" s="12"/>
      <c r="AN220" s="12"/>
      <c r="AO220" s="12"/>
      <c r="AP220" s="37"/>
      <c r="AQ220" s="37"/>
    </row>
    <row r="221" spans="1:43">
      <c r="A221" s="21">
        <f>A220+1</f>
        <v>167</v>
      </c>
      <c r="B221" s="27" t="s">
        <v>420</v>
      </c>
      <c r="C221" s="56" t="s">
        <v>421</v>
      </c>
      <c r="D221" s="83" t="s">
        <v>408</v>
      </c>
      <c r="E221" s="84" t="s">
        <v>79</v>
      </c>
      <c r="F221" s="85" t="s">
        <v>351</v>
      </c>
      <c r="G221" s="26">
        <f t="shared" ref="G221:G233" si="147">467+30+50</f>
        <v>547</v>
      </c>
      <c r="H221" s="32">
        <f t="shared" si="139"/>
        <v>6564</v>
      </c>
      <c r="I221" s="32">
        <v>60</v>
      </c>
      <c r="J221" s="36"/>
      <c r="K221" s="32">
        <f t="shared" si="140"/>
        <v>547</v>
      </c>
      <c r="L221" s="32">
        <v>300</v>
      </c>
      <c r="M221" s="37"/>
      <c r="N221" s="24">
        <v>125</v>
      </c>
      <c r="O221" s="24"/>
      <c r="P221" s="12">
        <f>G221*0.0775*13</f>
        <v>551.10249999999996</v>
      </c>
      <c r="Q221" s="9">
        <f>P221/13</f>
        <v>42.392499999999998</v>
      </c>
      <c r="R221" s="12"/>
      <c r="S221" s="12"/>
      <c r="T221" s="12"/>
      <c r="U221" s="12">
        <f t="shared" si="144"/>
        <v>533.32499999999993</v>
      </c>
      <c r="V221" s="12">
        <f t="shared" si="141"/>
        <v>41.024999999999991</v>
      </c>
      <c r="W221" s="12"/>
      <c r="X221" s="12"/>
      <c r="Y221" s="12">
        <f t="shared" ref="Y221:Y222" si="148">P221+S221+U221+W221</f>
        <v>1084.4274999999998</v>
      </c>
      <c r="Z221" s="12">
        <f t="shared" si="145"/>
        <v>71.11</v>
      </c>
      <c r="AA221" s="12">
        <f t="shared" si="143"/>
        <v>5.47</v>
      </c>
      <c r="AB221" s="37"/>
      <c r="AC221" s="37"/>
      <c r="AD221" s="37"/>
      <c r="AE221" s="37"/>
      <c r="AF221" s="37"/>
      <c r="AG221" s="37"/>
      <c r="AH221" s="37"/>
      <c r="AI221" s="12"/>
      <c r="AJ221" s="37"/>
      <c r="AK221" s="37"/>
      <c r="AL221" s="61"/>
      <c r="AM221" s="12"/>
      <c r="AN221" s="12"/>
      <c r="AO221" s="12"/>
      <c r="AP221" s="61"/>
      <c r="AQ221" s="61"/>
    </row>
    <row r="222" spans="1:43">
      <c r="A222" s="21">
        <f>A221+1</f>
        <v>168</v>
      </c>
      <c r="B222" s="27" t="s">
        <v>422</v>
      </c>
      <c r="C222" s="56" t="s">
        <v>421</v>
      </c>
      <c r="D222" s="83" t="s">
        <v>408</v>
      </c>
      <c r="E222" s="84" t="s">
        <v>79</v>
      </c>
      <c r="F222" s="85" t="s">
        <v>351</v>
      </c>
      <c r="G222" s="26">
        <f t="shared" si="147"/>
        <v>547</v>
      </c>
      <c r="H222" s="32">
        <f t="shared" si="139"/>
        <v>6564</v>
      </c>
      <c r="I222" s="32">
        <v>60</v>
      </c>
      <c r="J222" s="36"/>
      <c r="K222" s="32">
        <f t="shared" si="140"/>
        <v>547</v>
      </c>
      <c r="L222" s="32">
        <v>300</v>
      </c>
      <c r="M222" s="37"/>
      <c r="N222" s="24">
        <v>125</v>
      </c>
      <c r="O222" s="24"/>
      <c r="P222" s="12">
        <f>G222*0.0775*13</f>
        <v>551.10249999999996</v>
      </c>
      <c r="Q222" s="40"/>
      <c r="R222" s="12">
        <f>P222/13</f>
        <v>42.392499999999998</v>
      </c>
      <c r="S222" s="12"/>
      <c r="T222" s="12"/>
      <c r="U222" s="12">
        <f t="shared" si="144"/>
        <v>533.32499999999993</v>
      </c>
      <c r="V222" s="12">
        <f t="shared" si="141"/>
        <v>41.024999999999991</v>
      </c>
      <c r="W222" s="12"/>
      <c r="X222" s="12"/>
      <c r="Y222" s="12">
        <f t="shared" si="148"/>
        <v>1084.4274999999998</v>
      </c>
      <c r="Z222" s="12">
        <f t="shared" si="145"/>
        <v>71.11</v>
      </c>
      <c r="AA222" s="12">
        <f t="shared" si="143"/>
        <v>5.47</v>
      </c>
      <c r="AB222" s="38"/>
      <c r="AC222" s="38"/>
      <c r="AD222" s="38"/>
      <c r="AE222" s="38"/>
      <c r="AF222" s="37"/>
      <c r="AG222" s="37"/>
      <c r="AH222" s="37"/>
      <c r="AI222" s="12"/>
      <c r="AJ222" s="38"/>
      <c r="AK222" s="38"/>
      <c r="AL222" s="38"/>
      <c r="AM222" s="12"/>
      <c r="AN222" s="12"/>
      <c r="AO222" s="12"/>
      <c r="AP222" s="37"/>
      <c r="AQ222" s="37"/>
    </row>
    <row r="223" spans="1:43">
      <c r="A223" s="21">
        <f t="shared" si="146"/>
        <v>169</v>
      </c>
      <c r="B223" s="27" t="s">
        <v>423</v>
      </c>
      <c r="C223" s="56" t="s">
        <v>421</v>
      </c>
      <c r="D223" s="83" t="s">
        <v>408</v>
      </c>
      <c r="E223" s="84" t="s">
        <v>79</v>
      </c>
      <c r="F223" s="85" t="s">
        <v>351</v>
      </c>
      <c r="G223" s="26">
        <f t="shared" si="147"/>
        <v>547</v>
      </c>
      <c r="H223" s="32">
        <f t="shared" si="139"/>
        <v>6564</v>
      </c>
      <c r="I223" s="32">
        <v>60</v>
      </c>
      <c r="J223" s="36"/>
      <c r="K223" s="32">
        <f t="shared" si="140"/>
        <v>547</v>
      </c>
      <c r="L223" s="32">
        <v>300</v>
      </c>
      <c r="M223" s="37"/>
      <c r="N223" s="24">
        <v>125</v>
      </c>
      <c r="O223" s="24"/>
      <c r="P223" s="12"/>
      <c r="Q223" s="12"/>
      <c r="R223" s="12"/>
      <c r="S223" s="12"/>
      <c r="T223" s="12"/>
      <c r="U223" s="12">
        <f t="shared" si="144"/>
        <v>533.32499999999993</v>
      </c>
      <c r="V223" s="12">
        <f t="shared" si="141"/>
        <v>41.024999999999991</v>
      </c>
      <c r="W223" s="12">
        <f>G223*0.06*13</f>
        <v>426.66</v>
      </c>
      <c r="X223" s="12">
        <f>W223/12</f>
        <v>35.555</v>
      </c>
      <c r="Y223" s="12">
        <f>P223+S223+U223+W223</f>
        <v>959.9849999999999</v>
      </c>
      <c r="Z223" s="12">
        <f t="shared" si="145"/>
        <v>71.11</v>
      </c>
      <c r="AA223" s="12">
        <f t="shared" si="143"/>
        <v>5.47</v>
      </c>
      <c r="AB223" s="38"/>
      <c r="AC223" s="38"/>
      <c r="AD223" s="38"/>
      <c r="AE223" s="38"/>
      <c r="AF223" s="37"/>
      <c r="AG223" s="37"/>
      <c r="AH223" s="37"/>
      <c r="AI223" s="12"/>
      <c r="AJ223" s="38"/>
      <c r="AK223" s="38"/>
      <c r="AL223" s="38"/>
      <c r="AM223" s="12"/>
      <c r="AN223" s="12"/>
      <c r="AO223" s="12"/>
      <c r="AP223" s="37"/>
      <c r="AQ223" s="37"/>
    </row>
    <row r="224" spans="1:43">
      <c r="A224" s="21">
        <f t="shared" si="146"/>
        <v>170</v>
      </c>
      <c r="B224" s="27" t="s">
        <v>424</v>
      </c>
      <c r="C224" s="56" t="s">
        <v>421</v>
      </c>
      <c r="D224" s="83" t="s">
        <v>408</v>
      </c>
      <c r="E224" s="84" t="s">
        <v>79</v>
      </c>
      <c r="F224" s="85" t="s">
        <v>351</v>
      </c>
      <c r="G224" s="26">
        <f t="shared" si="147"/>
        <v>547</v>
      </c>
      <c r="H224" s="32">
        <f t="shared" si="139"/>
        <v>6564</v>
      </c>
      <c r="I224" s="32">
        <v>60</v>
      </c>
      <c r="J224" s="36"/>
      <c r="K224" s="32">
        <f t="shared" si="140"/>
        <v>547</v>
      </c>
      <c r="L224" s="32">
        <v>300</v>
      </c>
      <c r="M224" s="37"/>
      <c r="N224" s="24">
        <v>125</v>
      </c>
      <c r="O224" s="24"/>
      <c r="P224" s="12">
        <f t="shared" ref="P224:P229" si="149">G224*0.0775*13</f>
        <v>551.10249999999996</v>
      </c>
      <c r="Q224" s="9">
        <f>P224/13</f>
        <v>42.392499999999998</v>
      </c>
      <c r="R224" s="12"/>
      <c r="S224" s="12"/>
      <c r="T224" s="12"/>
      <c r="U224" s="12">
        <f t="shared" si="144"/>
        <v>533.32499999999993</v>
      </c>
      <c r="V224" s="12">
        <f t="shared" si="141"/>
        <v>41.024999999999991</v>
      </c>
      <c r="W224" s="12"/>
      <c r="X224" s="12"/>
      <c r="Y224" s="12">
        <f>P224+S224+U224+W224</f>
        <v>1084.4274999999998</v>
      </c>
      <c r="Z224" s="12">
        <f t="shared" si="145"/>
        <v>71.11</v>
      </c>
      <c r="AA224" s="12">
        <f t="shared" si="143"/>
        <v>5.47</v>
      </c>
      <c r="AB224" s="38"/>
      <c r="AC224" s="38"/>
      <c r="AD224" s="38"/>
      <c r="AE224" s="37"/>
      <c r="AF224" s="37"/>
      <c r="AG224" s="37"/>
      <c r="AH224" s="37"/>
      <c r="AI224" s="12"/>
      <c r="AJ224" s="38"/>
      <c r="AK224" s="38"/>
      <c r="AL224" s="38"/>
      <c r="AM224" s="12"/>
      <c r="AN224" s="12"/>
      <c r="AO224" s="12"/>
      <c r="AP224" s="37"/>
      <c r="AQ224" s="37"/>
    </row>
    <row r="225" spans="1:43">
      <c r="A225" s="21">
        <f t="shared" si="146"/>
        <v>171</v>
      </c>
      <c r="B225" s="27" t="s">
        <v>425</v>
      </c>
      <c r="C225" s="56" t="s">
        <v>421</v>
      </c>
      <c r="D225" s="83" t="s">
        <v>408</v>
      </c>
      <c r="E225" s="84" t="s">
        <v>79</v>
      </c>
      <c r="F225" s="85" t="s">
        <v>351</v>
      </c>
      <c r="G225" s="26">
        <f t="shared" si="147"/>
        <v>547</v>
      </c>
      <c r="H225" s="32">
        <f t="shared" si="139"/>
        <v>6564</v>
      </c>
      <c r="I225" s="32">
        <v>60</v>
      </c>
      <c r="J225" s="36"/>
      <c r="K225" s="32">
        <f t="shared" si="140"/>
        <v>547</v>
      </c>
      <c r="L225" s="32">
        <v>300</v>
      </c>
      <c r="M225" s="37"/>
      <c r="N225" s="24">
        <v>125</v>
      </c>
      <c r="O225" s="24"/>
      <c r="P225" s="12">
        <f t="shared" si="149"/>
        <v>551.10249999999996</v>
      </c>
      <c r="Q225" s="9">
        <f>P225/13</f>
        <v>42.392499999999998</v>
      </c>
      <c r="R225" s="12"/>
      <c r="S225" s="12"/>
      <c r="T225" s="12"/>
      <c r="U225" s="12">
        <f t="shared" si="144"/>
        <v>533.32499999999993</v>
      </c>
      <c r="V225" s="12">
        <f t="shared" si="141"/>
        <v>41.024999999999991</v>
      </c>
      <c r="W225" s="12"/>
      <c r="X225" s="12"/>
      <c r="Y225" s="12">
        <f t="shared" ref="Y225:Y229" si="150">P225+S225+U225+W225</f>
        <v>1084.4274999999998</v>
      </c>
      <c r="Z225" s="12">
        <f t="shared" si="145"/>
        <v>71.11</v>
      </c>
      <c r="AA225" s="12">
        <f t="shared" si="143"/>
        <v>5.47</v>
      </c>
      <c r="AB225" s="38"/>
      <c r="AC225" s="38"/>
      <c r="AD225" s="38"/>
      <c r="AE225" s="38"/>
      <c r="AF225" s="37"/>
      <c r="AG225" s="37"/>
      <c r="AH225" s="37"/>
      <c r="AI225" s="12"/>
      <c r="AJ225" s="38"/>
      <c r="AK225" s="38"/>
      <c r="AL225" s="38"/>
      <c r="AM225" s="12"/>
      <c r="AN225" s="12"/>
      <c r="AO225" s="12"/>
      <c r="AP225" s="37"/>
      <c r="AQ225" s="37"/>
    </row>
    <row r="226" spans="1:43">
      <c r="A226" s="21">
        <f t="shared" si="146"/>
        <v>172</v>
      </c>
      <c r="B226" s="27" t="s">
        <v>426</v>
      </c>
      <c r="C226" s="56" t="s">
        <v>421</v>
      </c>
      <c r="D226" s="83" t="s">
        <v>408</v>
      </c>
      <c r="E226" s="84" t="s">
        <v>79</v>
      </c>
      <c r="F226" s="85" t="s">
        <v>351</v>
      </c>
      <c r="G226" s="26">
        <f t="shared" si="147"/>
        <v>547</v>
      </c>
      <c r="H226" s="32">
        <f t="shared" si="139"/>
        <v>6564</v>
      </c>
      <c r="I226" s="32">
        <v>60</v>
      </c>
      <c r="J226" s="36"/>
      <c r="K226" s="32">
        <f t="shared" si="140"/>
        <v>547</v>
      </c>
      <c r="L226" s="32">
        <v>300</v>
      </c>
      <c r="M226" s="37"/>
      <c r="N226" s="24">
        <v>125</v>
      </c>
      <c r="O226" s="24"/>
      <c r="P226" s="12">
        <f t="shared" si="149"/>
        <v>551.10249999999996</v>
      </c>
      <c r="Q226" s="40"/>
      <c r="R226" s="12">
        <f>P226/13</f>
        <v>42.392499999999998</v>
      </c>
      <c r="S226" s="12"/>
      <c r="T226" s="12"/>
      <c r="U226" s="12">
        <f t="shared" si="144"/>
        <v>533.32499999999993</v>
      </c>
      <c r="V226" s="12">
        <f t="shared" si="141"/>
        <v>41.024999999999991</v>
      </c>
      <c r="W226" s="12"/>
      <c r="X226" s="12"/>
      <c r="Y226" s="12">
        <f t="shared" si="150"/>
        <v>1084.4274999999998</v>
      </c>
      <c r="Z226" s="12">
        <f t="shared" si="145"/>
        <v>71.11</v>
      </c>
      <c r="AA226" s="12">
        <f t="shared" si="143"/>
        <v>5.47</v>
      </c>
      <c r="AB226" s="38"/>
      <c r="AC226" s="38"/>
      <c r="AD226" s="38"/>
      <c r="AE226" s="38"/>
      <c r="AF226" s="37"/>
      <c r="AG226" s="37"/>
      <c r="AH226" s="37"/>
      <c r="AI226" s="12"/>
      <c r="AJ226" s="38"/>
      <c r="AK226" s="38"/>
      <c r="AL226" s="38"/>
      <c r="AM226" s="12"/>
      <c r="AN226" s="12"/>
      <c r="AO226" s="12"/>
      <c r="AP226" s="37"/>
      <c r="AQ226" s="37"/>
    </row>
    <row r="227" spans="1:43">
      <c r="A227" s="21">
        <f t="shared" si="146"/>
        <v>173</v>
      </c>
      <c r="B227" s="27" t="s">
        <v>427</v>
      </c>
      <c r="C227" s="56" t="s">
        <v>421</v>
      </c>
      <c r="D227" s="83" t="s">
        <v>408</v>
      </c>
      <c r="E227" s="84" t="s">
        <v>79</v>
      </c>
      <c r="F227" s="85" t="s">
        <v>351</v>
      </c>
      <c r="G227" s="26">
        <f t="shared" si="147"/>
        <v>547</v>
      </c>
      <c r="H227" s="32">
        <f t="shared" si="139"/>
        <v>6564</v>
      </c>
      <c r="I227" s="32">
        <v>60</v>
      </c>
      <c r="J227" s="36"/>
      <c r="K227" s="32">
        <f t="shared" si="140"/>
        <v>547</v>
      </c>
      <c r="L227" s="32">
        <v>300</v>
      </c>
      <c r="M227" s="37"/>
      <c r="N227" s="24">
        <v>125</v>
      </c>
      <c r="O227" s="24"/>
      <c r="P227" s="12">
        <f t="shared" si="149"/>
        <v>551.10249999999996</v>
      </c>
      <c r="Q227" s="9">
        <f>P227/13</f>
        <v>42.392499999999998</v>
      </c>
      <c r="R227" s="12"/>
      <c r="S227" s="12"/>
      <c r="T227" s="12"/>
      <c r="U227" s="12">
        <f t="shared" si="144"/>
        <v>533.32499999999993</v>
      </c>
      <c r="V227" s="12">
        <f t="shared" si="141"/>
        <v>41.024999999999991</v>
      </c>
      <c r="W227" s="12"/>
      <c r="X227" s="12"/>
      <c r="Y227" s="12">
        <f t="shared" si="150"/>
        <v>1084.4274999999998</v>
      </c>
      <c r="Z227" s="12">
        <f t="shared" si="145"/>
        <v>71.11</v>
      </c>
      <c r="AA227" s="12">
        <f t="shared" si="143"/>
        <v>5.47</v>
      </c>
      <c r="AB227" s="38"/>
      <c r="AC227" s="38"/>
      <c r="AD227" s="38"/>
      <c r="AE227" s="38"/>
      <c r="AF227" s="37"/>
      <c r="AG227" s="37"/>
      <c r="AH227" s="37"/>
      <c r="AI227" s="12"/>
      <c r="AJ227" s="38"/>
      <c r="AK227" s="38"/>
      <c r="AL227" s="38"/>
      <c r="AM227" s="12"/>
      <c r="AN227" s="12"/>
      <c r="AO227" s="12"/>
      <c r="AP227" s="37"/>
      <c r="AQ227" s="37"/>
    </row>
    <row r="228" spans="1:43">
      <c r="A228" s="21">
        <f>A227+1</f>
        <v>174</v>
      </c>
      <c r="B228" s="27" t="s">
        <v>428</v>
      </c>
      <c r="C228" s="56" t="s">
        <v>421</v>
      </c>
      <c r="D228" s="83" t="s">
        <v>408</v>
      </c>
      <c r="E228" s="84" t="s">
        <v>79</v>
      </c>
      <c r="F228" s="85" t="s">
        <v>351</v>
      </c>
      <c r="G228" s="26">
        <f t="shared" si="147"/>
        <v>547</v>
      </c>
      <c r="H228" s="32">
        <f t="shared" si="139"/>
        <v>6564</v>
      </c>
      <c r="I228" s="32">
        <v>60</v>
      </c>
      <c r="J228" s="36"/>
      <c r="K228" s="32">
        <f t="shared" si="140"/>
        <v>547</v>
      </c>
      <c r="L228" s="32">
        <v>300</v>
      </c>
      <c r="M228" s="37"/>
      <c r="N228" s="24">
        <v>125</v>
      </c>
      <c r="O228" s="24"/>
      <c r="P228" s="12">
        <f t="shared" si="149"/>
        <v>551.10249999999996</v>
      </c>
      <c r="Q228" s="9">
        <f>P228/13</f>
        <v>42.392499999999998</v>
      </c>
      <c r="R228" s="12"/>
      <c r="S228" s="12"/>
      <c r="T228" s="12"/>
      <c r="U228" s="12">
        <f t="shared" si="144"/>
        <v>533.32499999999993</v>
      </c>
      <c r="V228" s="12">
        <f t="shared" si="141"/>
        <v>41.024999999999991</v>
      </c>
      <c r="W228" s="12"/>
      <c r="X228" s="12"/>
      <c r="Y228" s="12">
        <f t="shared" si="150"/>
        <v>1084.4274999999998</v>
      </c>
      <c r="Z228" s="12">
        <f t="shared" si="145"/>
        <v>71.11</v>
      </c>
      <c r="AA228" s="12">
        <f t="shared" si="143"/>
        <v>5.47</v>
      </c>
      <c r="AB228" s="38"/>
      <c r="AC228" s="38"/>
      <c r="AD228" s="38"/>
      <c r="AE228" s="38"/>
      <c r="AF228" s="37"/>
      <c r="AG228" s="37"/>
      <c r="AH228" s="37"/>
      <c r="AI228" s="12"/>
      <c r="AJ228" s="38"/>
      <c r="AK228" s="38"/>
      <c r="AL228" s="38"/>
      <c r="AM228" s="12"/>
      <c r="AN228" s="12"/>
      <c r="AO228" s="12"/>
      <c r="AP228" s="37"/>
      <c r="AQ228" s="37"/>
    </row>
    <row r="229" spans="1:43">
      <c r="A229" s="21">
        <f t="shared" si="146"/>
        <v>175</v>
      </c>
      <c r="B229" s="27" t="s">
        <v>429</v>
      </c>
      <c r="C229" s="56" t="s">
        <v>421</v>
      </c>
      <c r="D229" s="83" t="s">
        <v>408</v>
      </c>
      <c r="E229" s="84" t="s">
        <v>79</v>
      </c>
      <c r="F229" s="85" t="s">
        <v>351</v>
      </c>
      <c r="G229" s="26">
        <f t="shared" si="147"/>
        <v>547</v>
      </c>
      <c r="H229" s="32">
        <f t="shared" si="139"/>
        <v>6564</v>
      </c>
      <c r="I229" s="32">
        <v>60</v>
      </c>
      <c r="J229" s="36"/>
      <c r="K229" s="32">
        <f t="shared" si="140"/>
        <v>547</v>
      </c>
      <c r="L229" s="32">
        <v>300</v>
      </c>
      <c r="M229" s="37"/>
      <c r="N229" s="24">
        <v>125</v>
      </c>
      <c r="O229" s="24"/>
      <c r="P229" s="12">
        <f t="shared" si="149"/>
        <v>551.10249999999996</v>
      </c>
      <c r="Q229" s="40"/>
      <c r="R229" s="12">
        <f>P229/13</f>
        <v>42.392499999999998</v>
      </c>
      <c r="S229" s="12"/>
      <c r="T229" s="12"/>
      <c r="U229" s="12">
        <f t="shared" si="144"/>
        <v>533.32499999999993</v>
      </c>
      <c r="V229" s="12">
        <f t="shared" si="141"/>
        <v>41.024999999999991</v>
      </c>
      <c r="W229" s="12"/>
      <c r="X229" s="12"/>
      <c r="Y229" s="12">
        <f t="shared" si="150"/>
        <v>1084.4274999999998</v>
      </c>
      <c r="Z229" s="12">
        <f t="shared" si="145"/>
        <v>71.11</v>
      </c>
      <c r="AA229" s="12">
        <f t="shared" si="143"/>
        <v>5.47</v>
      </c>
      <c r="AB229" s="38"/>
      <c r="AC229" s="38"/>
      <c r="AD229" s="38"/>
      <c r="AE229" s="38"/>
      <c r="AF229" s="37"/>
      <c r="AG229" s="37"/>
      <c r="AH229" s="37"/>
      <c r="AI229" s="12"/>
      <c r="AJ229" s="38"/>
      <c r="AK229" s="38"/>
      <c r="AL229" s="38"/>
      <c r="AM229" s="12"/>
      <c r="AN229" s="12"/>
      <c r="AO229" s="12"/>
      <c r="AP229" s="37"/>
      <c r="AQ229" s="37"/>
    </row>
    <row r="230" spans="1:43">
      <c r="A230" s="21">
        <f t="shared" si="146"/>
        <v>176</v>
      </c>
      <c r="B230" s="27" t="s">
        <v>430</v>
      </c>
      <c r="C230" s="56" t="s">
        <v>421</v>
      </c>
      <c r="D230" s="83" t="s">
        <v>408</v>
      </c>
      <c r="E230" s="84" t="s">
        <v>79</v>
      </c>
      <c r="F230" s="85" t="s">
        <v>351</v>
      </c>
      <c r="G230" s="26">
        <f t="shared" si="147"/>
        <v>547</v>
      </c>
      <c r="H230" s="32">
        <f t="shared" si="139"/>
        <v>6564</v>
      </c>
      <c r="I230" s="32">
        <v>60</v>
      </c>
      <c r="J230" s="36"/>
      <c r="K230" s="32">
        <f t="shared" si="140"/>
        <v>547</v>
      </c>
      <c r="L230" s="32">
        <v>300</v>
      </c>
      <c r="M230" s="37"/>
      <c r="N230" s="24">
        <v>125</v>
      </c>
      <c r="O230" s="24"/>
      <c r="P230" s="12"/>
      <c r="Q230" s="12"/>
      <c r="R230" s="12"/>
      <c r="S230" s="12"/>
      <c r="T230" s="12"/>
      <c r="U230" s="12">
        <f t="shared" si="144"/>
        <v>533.32499999999993</v>
      </c>
      <c r="V230" s="12">
        <f t="shared" si="141"/>
        <v>41.024999999999991</v>
      </c>
      <c r="W230" s="12">
        <f>G230*0.06*13</f>
        <v>426.66</v>
      </c>
      <c r="X230" s="12">
        <f>W230/12</f>
        <v>35.555</v>
      </c>
      <c r="Y230" s="12">
        <f>P230+S230+U230+W230</f>
        <v>959.9849999999999</v>
      </c>
      <c r="Z230" s="12">
        <f t="shared" si="145"/>
        <v>71.11</v>
      </c>
      <c r="AA230" s="12">
        <f t="shared" si="143"/>
        <v>5.47</v>
      </c>
      <c r="AB230" s="38"/>
      <c r="AC230" s="38"/>
      <c r="AD230" s="38"/>
      <c r="AE230" s="38"/>
      <c r="AF230" s="37"/>
      <c r="AG230" s="37"/>
      <c r="AH230" s="37"/>
      <c r="AI230" s="12"/>
      <c r="AJ230" s="38"/>
      <c r="AK230" s="38"/>
      <c r="AL230" s="38"/>
      <c r="AM230" s="12"/>
      <c r="AN230" s="12"/>
      <c r="AO230" s="12"/>
      <c r="AP230" s="37"/>
      <c r="AQ230" s="37"/>
    </row>
    <row r="231" spans="1:43">
      <c r="A231" s="21">
        <f t="shared" si="146"/>
        <v>177</v>
      </c>
      <c r="B231" s="27" t="s">
        <v>431</v>
      </c>
      <c r="C231" s="56" t="s">
        <v>421</v>
      </c>
      <c r="D231" s="83" t="s">
        <v>408</v>
      </c>
      <c r="E231" s="84" t="s">
        <v>79</v>
      </c>
      <c r="F231" s="85" t="s">
        <v>351</v>
      </c>
      <c r="G231" s="26">
        <f t="shared" si="147"/>
        <v>547</v>
      </c>
      <c r="H231" s="32">
        <f t="shared" si="139"/>
        <v>6564</v>
      </c>
      <c r="I231" s="32">
        <v>60</v>
      </c>
      <c r="J231" s="36"/>
      <c r="K231" s="32">
        <f t="shared" si="140"/>
        <v>547</v>
      </c>
      <c r="L231" s="32">
        <v>300</v>
      </c>
      <c r="M231" s="37"/>
      <c r="N231" s="24">
        <v>125</v>
      </c>
      <c r="O231" s="24"/>
      <c r="P231" s="12"/>
      <c r="Q231" s="12"/>
      <c r="R231" s="12"/>
      <c r="S231" s="12"/>
      <c r="T231" s="12"/>
      <c r="U231" s="12">
        <f t="shared" si="144"/>
        <v>533.32499999999993</v>
      </c>
      <c r="V231" s="12">
        <f t="shared" si="141"/>
        <v>41.024999999999991</v>
      </c>
      <c r="W231" s="12">
        <f>G231*0.06*13</f>
        <v>426.66</v>
      </c>
      <c r="X231" s="12">
        <f>W231/12</f>
        <v>35.555</v>
      </c>
      <c r="Y231" s="12">
        <f>P231+S231+U231+W231</f>
        <v>959.9849999999999</v>
      </c>
      <c r="Z231" s="12">
        <f t="shared" si="145"/>
        <v>71.11</v>
      </c>
      <c r="AA231" s="12">
        <f t="shared" si="143"/>
        <v>5.47</v>
      </c>
      <c r="AB231" s="38"/>
      <c r="AC231" s="38"/>
      <c r="AD231" s="38"/>
      <c r="AE231" s="38"/>
      <c r="AF231" s="37"/>
      <c r="AG231" s="37"/>
      <c r="AH231" s="37"/>
      <c r="AI231" s="12"/>
      <c r="AJ231" s="38"/>
      <c r="AK231" s="38"/>
      <c r="AL231" s="38"/>
      <c r="AM231" s="12"/>
      <c r="AN231" s="12"/>
      <c r="AO231" s="12"/>
      <c r="AP231" s="37"/>
      <c r="AQ231" s="37"/>
    </row>
    <row r="232" spans="1:43">
      <c r="A232" s="21">
        <f t="shared" si="146"/>
        <v>178</v>
      </c>
      <c r="B232" s="27" t="s">
        <v>432</v>
      </c>
      <c r="C232" s="56" t="s">
        <v>421</v>
      </c>
      <c r="D232" s="83" t="s">
        <v>408</v>
      </c>
      <c r="E232" s="84" t="s">
        <v>79</v>
      </c>
      <c r="F232" s="85" t="s">
        <v>351</v>
      </c>
      <c r="G232" s="26">
        <f t="shared" si="147"/>
        <v>547</v>
      </c>
      <c r="H232" s="32">
        <f t="shared" si="139"/>
        <v>6564</v>
      </c>
      <c r="I232" s="32">
        <v>60</v>
      </c>
      <c r="J232" s="36"/>
      <c r="K232" s="32">
        <f t="shared" si="140"/>
        <v>547</v>
      </c>
      <c r="L232" s="32">
        <v>300</v>
      </c>
      <c r="M232" s="37"/>
      <c r="N232" s="24">
        <v>125</v>
      </c>
      <c r="O232" s="24"/>
      <c r="P232" s="12"/>
      <c r="Q232" s="12"/>
      <c r="R232" s="12"/>
      <c r="S232" s="12"/>
      <c r="T232" s="12"/>
      <c r="U232" s="12">
        <f t="shared" si="144"/>
        <v>533.32499999999993</v>
      </c>
      <c r="V232" s="12">
        <f t="shared" si="141"/>
        <v>41.024999999999991</v>
      </c>
      <c r="W232" s="12">
        <f>G232*0.06*13</f>
        <v>426.66</v>
      </c>
      <c r="X232" s="12">
        <f>W232/12</f>
        <v>35.555</v>
      </c>
      <c r="Y232" s="12">
        <f>P232+S232+U232+W232</f>
        <v>959.9849999999999</v>
      </c>
      <c r="Z232" s="12">
        <f t="shared" si="145"/>
        <v>71.11</v>
      </c>
      <c r="AA232" s="12">
        <f t="shared" si="143"/>
        <v>5.47</v>
      </c>
      <c r="AB232" s="38"/>
      <c r="AC232" s="38"/>
      <c r="AD232" s="38"/>
      <c r="AE232" s="38"/>
      <c r="AF232" s="37"/>
      <c r="AG232" s="37"/>
      <c r="AH232" s="37"/>
      <c r="AI232" s="12"/>
      <c r="AJ232" s="38"/>
      <c r="AK232" s="38"/>
      <c r="AL232" s="38"/>
      <c r="AM232" s="12"/>
      <c r="AN232" s="12"/>
      <c r="AO232" s="12"/>
      <c r="AP232" s="37"/>
      <c r="AQ232" s="37"/>
    </row>
    <row r="233" spans="1:43">
      <c r="A233" s="21">
        <f t="shared" si="146"/>
        <v>179</v>
      </c>
      <c r="B233" s="27" t="s">
        <v>433</v>
      </c>
      <c r="C233" s="56" t="s">
        <v>421</v>
      </c>
      <c r="D233" s="83" t="s">
        <v>408</v>
      </c>
      <c r="E233" s="84" t="s">
        <v>79</v>
      </c>
      <c r="F233" s="85" t="s">
        <v>351</v>
      </c>
      <c r="G233" s="26">
        <f t="shared" si="147"/>
        <v>547</v>
      </c>
      <c r="H233" s="32">
        <f t="shared" si="139"/>
        <v>6564</v>
      </c>
      <c r="I233" s="32">
        <v>60</v>
      </c>
      <c r="J233" s="36"/>
      <c r="K233" s="32">
        <f t="shared" si="140"/>
        <v>547</v>
      </c>
      <c r="L233" s="32">
        <v>300</v>
      </c>
      <c r="M233" s="37"/>
      <c r="N233" s="24">
        <v>125</v>
      </c>
      <c r="O233" s="24"/>
      <c r="P233" s="12">
        <f>G233*0.0775*13</f>
        <v>551.10249999999996</v>
      </c>
      <c r="Q233" s="40"/>
      <c r="R233" s="12">
        <f>P233/13</f>
        <v>42.392499999999998</v>
      </c>
      <c r="S233" s="12"/>
      <c r="T233" s="12"/>
      <c r="U233" s="12">
        <f t="shared" si="144"/>
        <v>533.32499999999993</v>
      </c>
      <c r="V233" s="12">
        <f t="shared" si="141"/>
        <v>41.024999999999991</v>
      </c>
      <c r="W233" s="12"/>
      <c r="X233" s="12"/>
      <c r="Y233" s="12">
        <f>P233+S233+U233+W233</f>
        <v>1084.4274999999998</v>
      </c>
      <c r="Z233" s="12">
        <f t="shared" si="145"/>
        <v>71.11</v>
      </c>
      <c r="AA233" s="12">
        <f t="shared" si="143"/>
        <v>5.47</v>
      </c>
      <c r="AB233" s="38"/>
      <c r="AC233" s="38"/>
      <c r="AD233" s="38"/>
      <c r="AE233" s="38"/>
      <c r="AF233" s="37"/>
      <c r="AG233" s="37"/>
      <c r="AH233" s="37"/>
      <c r="AI233" s="12"/>
      <c r="AJ233" s="38"/>
      <c r="AK233" s="38"/>
      <c r="AL233" s="38"/>
      <c r="AM233" s="12"/>
      <c r="AN233" s="12"/>
      <c r="AO233" s="12"/>
      <c r="AP233" s="37"/>
      <c r="AQ233" s="37"/>
    </row>
    <row r="234" spans="1:43">
      <c r="A234" s="21">
        <f t="shared" si="146"/>
        <v>180</v>
      </c>
      <c r="B234" s="27" t="s">
        <v>434</v>
      </c>
      <c r="C234" s="56" t="s">
        <v>435</v>
      </c>
      <c r="D234" s="83" t="s">
        <v>408</v>
      </c>
      <c r="E234" s="84" t="s">
        <v>79</v>
      </c>
      <c r="F234" s="85" t="s">
        <v>351</v>
      </c>
      <c r="G234" s="26">
        <f>417+30+50</f>
        <v>497</v>
      </c>
      <c r="H234" s="32">
        <f t="shared" si="139"/>
        <v>5964</v>
      </c>
      <c r="I234" s="32">
        <v>60</v>
      </c>
      <c r="J234" s="36"/>
      <c r="K234" s="32">
        <f t="shared" si="140"/>
        <v>497</v>
      </c>
      <c r="L234" s="32">
        <v>300</v>
      </c>
      <c r="M234" s="37"/>
      <c r="N234" s="24">
        <v>125</v>
      </c>
      <c r="O234" s="24"/>
      <c r="P234" s="12">
        <f>G234*0.0775*13</f>
        <v>500.72749999999996</v>
      </c>
      <c r="Q234" s="9">
        <f>P234/13</f>
        <v>38.517499999999998</v>
      </c>
      <c r="R234" s="12"/>
      <c r="S234" s="12"/>
      <c r="T234" s="12"/>
      <c r="U234" s="12">
        <f t="shared" si="144"/>
        <v>484.57499999999999</v>
      </c>
      <c r="V234" s="12">
        <f t="shared" si="141"/>
        <v>37.274999999999999</v>
      </c>
      <c r="W234" s="12"/>
      <c r="X234" s="12"/>
      <c r="Y234" s="12">
        <f>P234+S234+U234+W234+0.01</f>
        <v>985.3125</v>
      </c>
      <c r="Z234" s="12">
        <f t="shared" si="145"/>
        <v>64.61</v>
      </c>
      <c r="AA234" s="12">
        <f t="shared" si="143"/>
        <v>4.97</v>
      </c>
      <c r="AB234" s="38"/>
      <c r="AC234" s="38"/>
      <c r="AD234" s="38"/>
      <c r="AE234" s="38"/>
      <c r="AF234" s="37"/>
      <c r="AG234" s="37"/>
      <c r="AH234" s="37"/>
      <c r="AI234" s="12"/>
      <c r="AJ234" s="38"/>
      <c r="AK234" s="38"/>
      <c r="AL234" s="38"/>
      <c r="AM234" s="12"/>
      <c r="AN234" s="12"/>
      <c r="AO234" s="12"/>
      <c r="AP234" s="37"/>
      <c r="AQ234" s="37"/>
    </row>
    <row r="235" spans="1:43">
      <c r="A235" s="21">
        <f t="shared" si="146"/>
        <v>181</v>
      </c>
      <c r="B235" s="27" t="s">
        <v>436</v>
      </c>
      <c r="C235" s="56" t="s">
        <v>435</v>
      </c>
      <c r="D235" s="83" t="s">
        <v>408</v>
      </c>
      <c r="E235" s="84" t="s">
        <v>79</v>
      </c>
      <c r="F235" s="85" t="s">
        <v>351</v>
      </c>
      <c r="G235" s="119">
        <f>417+30+50</f>
        <v>497</v>
      </c>
      <c r="H235" s="32">
        <f t="shared" si="139"/>
        <v>5964</v>
      </c>
      <c r="I235" s="32">
        <v>60</v>
      </c>
      <c r="J235" s="36"/>
      <c r="K235" s="32">
        <f t="shared" si="140"/>
        <v>497</v>
      </c>
      <c r="L235" s="32">
        <v>300</v>
      </c>
      <c r="M235" s="37"/>
      <c r="N235" s="24">
        <v>125</v>
      </c>
      <c r="O235" s="24"/>
      <c r="P235" s="12"/>
      <c r="Q235" s="12"/>
      <c r="R235" s="12"/>
      <c r="S235" s="12"/>
      <c r="T235" s="12"/>
      <c r="U235" s="12">
        <f t="shared" si="144"/>
        <v>484.57499999999999</v>
      </c>
      <c r="V235" s="12">
        <f t="shared" si="141"/>
        <v>37.274999999999999</v>
      </c>
      <c r="W235" s="12">
        <f>G235*0.06*13</f>
        <v>387.66</v>
      </c>
      <c r="X235" s="12">
        <f>W235/12</f>
        <v>32.305</v>
      </c>
      <c r="Y235" s="12">
        <f>P235+S235+U235+W235</f>
        <v>872.23500000000001</v>
      </c>
      <c r="Z235" s="12">
        <f t="shared" si="145"/>
        <v>64.61</v>
      </c>
      <c r="AA235" s="12">
        <f t="shared" si="143"/>
        <v>4.97</v>
      </c>
      <c r="AB235" s="38"/>
      <c r="AC235" s="38"/>
      <c r="AD235" s="38"/>
      <c r="AE235" s="38"/>
      <c r="AF235" s="37"/>
      <c r="AG235" s="37"/>
      <c r="AH235" s="37"/>
      <c r="AI235" s="12"/>
      <c r="AJ235" s="38"/>
      <c r="AK235" s="38"/>
      <c r="AL235" s="38"/>
      <c r="AM235" s="12"/>
      <c r="AN235" s="12"/>
      <c r="AO235" s="12"/>
      <c r="AP235" s="37"/>
      <c r="AQ235" s="37"/>
    </row>
    <row r="236" spans="1:43">
      <c r="A236" s="21">
        <f t="shared" si="146"/>
        <v>182</v>
      </c>
      <c r="B236" s="27" t="s">
        <v>437</v>
      </c>
      <c r="C236" s="56" t="s">
        <v>435</v>
      </c>
      <c r="D236" s="83" t="s">
        <v>408</v>
      </c>
      <c r="E236" s="84" t="s">
        <v>79</v>
      </c>
      <c r="F236" s="85" t="s">
        <v>351</v>
      </c>
      <c r="G236" s="26">
        <f>387+30+50</f>
        <v>467</v>
      </c>
      <c r="H236" s="32">
        <f t="shared" si="139"/>
        <v>5604</v>
      </c>
      <c r="I236" s="32">
        <v>60</v>
      </c>
      <c r="J236" s="36"/>
      <c r="K236" s="32">
        <f t="shared" si="140"/>
        <v>467</v>
      </c>
      <c r="L236" s="32">
        <v>300</v>
      </c>
      <c r="M236" s="37"/>
      <c r="N236" s="24">
        <v>125</v>
      </c>
      <c r="O236" s="24"/>
      <c r="P236" s="12">
        <f>G236*0.0775*13</f>
        <v>470.50250000000005</v>
      </c>
      <c r="Q236" s="12"/>
      <c r="R236" s="12">
        <f t="shared" ref="R236:R241" si="151">P236/13</f>
        <v>36.192500000000003</v>
      </c>
      <c r="S236" s="12"/>
      <c r="T236" s="12"/>
      <c r="U236" s="12">
        <f t="shared" si="144"/>
        <v>455.32499999999999</v>
      </c>
      <c r="V236" s="12">
        <f t="shared" si="141"/>
        <v>35.024999999999999</v>
      </c>
      <c r="W236" s="12"/>
      <c r="X236" s="12"/>
      <c r="Y236" s="12">
        <f>P236+S236+U236+W236</f>
        <v>925.8275000000001</v>
      </c>
      <c r="Z236" s="12">
        <f t="shared" si="145"/>
        <v>60.71</v>
      </c>
      <c r="AA236" s="12">
        <f t="shared" si="143"/>
        <v>4.67</v>
      </c>
      <c r="AB236" s="38"/>
      <c r="AC236" s="38"/>
      <c r="AD236" s="38"/>
      <c r="AE236" s="38"/>
      <c r="AF236" s="37"/>
      <c r="AG236" s="37"/>
      <c r="AH236" s="37"/>
      <c r="AI236" s="12"/>
      <c r="AJ236" s="38"/>
      <c r="AK236" s="38"/>
      <c r="AL236" s="38"/>
      <c r="AM236" s="12"/>
      <c r="AN236" s="12"/>
      <c r="AO236" s="12"/>
      <c r="AP236" s="37"/>
      <c r="AQ236" s="37"/>
    </row>
    <row r="237" spans="1:43">
      <c r="A237" s="21">
        <f>A236+1</f>
        <v>183</v>
      </c>
      <c r="B237" s="109" t="s">
        <v>656</v>
      </c>
      <c r="C237" s="56" t="s">
        <v>435</v>
      </c>
      <c r="D237" s="83" t="s">
        <v>408</v>
      </c>
      <c r="E237" s="84" t="s">
        <v>79</v>
      </c>
      <c r="F237" s="85" t="s">
        <v>351</v>
      </c>
      <c r="G237" s="26">
        <f t="shared" ref="G237:G242" si="152">387+30+50</f>
        <v>467</v>
      </c>
      <c r="H237" s="32">
        <f t="shared" si="139"/>
        <v>5604</v>
      </c>
      <c r="I237" s="32">
        <v>60</v>
      </c>
      <c r="J237" s="36"/>
      <c r="K237" s="32">
        <f t="shared" si="140"/>
        <v>467</v>
      </c>
      <c r="L237" s="32">
        <v>300</v>
      </c>
      <c r="M237" s="37"/>
      <c r="N237" s="24">
        <v>125</v>
      </c>
      <c r="O237" s="24"/>
      <c r="P237" s="12">
        <f t="shared" ref="P237:P247" si="153">G237*0.0775*13</f>
        <v>470.50250000000005</v>
      </c>
      <c r="Q237" s="12"/>
      <c r="R237" s="12">
        <f t="shared" si="151"/>
        <v>36.192500000000003</v>
      </c>
      <c r="S237" s="12"/>
      <c r="T237" s="12"/>
      <c r="U237" s="12">
        <f t="shared" si="144"/>
        <v>455.32499999999999</v>
      </c>
      <c r="V237" s="12">
        <f t="shared" si="141"/>
        <v>35.024999999999999</v>
      </c>
      <c r="W237" s="12"/>
      <c r="X237" s="12"/>
      <c r="Y237" s="12">
        <f t="shared" ref="Y237:Y242" si="154">P237+S237+U237+W237</f>
        <v>925.8275000000001</v>
      </c>
      <c r="Z237" s="12">
        <f t="shared" si="145"/>
        <v>60.71</v>
      </c>
      <c r="AA237" s="12">
        <f t="shared" si="143"/>
        <v>4.67</v>
      </c>
      <c r="AB237" s="38"/>
      <c r="AC237" s="38"/>
      <c r="AD237" s="38"/>
      <c r="AE237" s="38"/>
      <c r="AF237" s="37"/>
      <c r="AG237" s="37"/>
      <c r="AH237" s="37"/>
      <c r="AI237" s="12"/>
      <c r="AJ237" s="38"/>
      <c r="AK237" s="38"/>
      <c r="AL237" s="38"/>
      <c r="AM237" s="12"/>
      <c r="AN237" s="12"/>
      <c r="AO237" s="12"/>
      <c r="AP237" s="37"/>
      <c r="AQ237" s="37"/>
    </row>
    <row r="238" spans="1:43">
      <c r="A238" s="21">
        <f t="shared" si="146"/>
        <v>184</v>
      </c>
      <c r="B238" s="27" t="s">
        <v>438</v>
      </c>
      <c r="C238" s="56" t="s">
        <v>435</v>
      </c>
      <c r="D238" s="83" t="s">
        <v>408</v>
      </c>
      <c r="E238" s="84" t="s">
        <v>79</v>
      </c>
      <c r="F238" s="85" t="s">
        <v>351</v>
      </c>
      <c r="G238" s="26">
        <f t="shared" si="152"/>
        <v>467</v>
      </c>
      <c r="H238" s="32">
        <f t="shared" si="139"/>
        <v>5604</v>
      </c>
      <c r="I238" s="32">
        <v>60</v>
      </c>
      <c r="J238" s="36"/>
      <c r="K238" s="32">
        <f t="shared" si="140"/>
        <v>467</v>
      </c>
      <c r="L238" s="32">
        <v>300</v>
      </c>
      <c r="M238" s="37"/>
      <c r="N238" s="24">
        <v>125</v>
      </c>
      <c r="O238" s="24"/>
      <c r="P238" s="12">
        <f t="shared" si="153"/>
        <v>470.50250000000005</v>
      </c>
      <c r="Q238" s="12"/>
      <c r="R238" s="12">
        <f t="shared" si="151"/>
        <v>36.192500000000003</v>
      </c>
      <c r="S238" s="12"/>
      <c r="T238" s="12"/>
      <c r="U238" s="12">
        <f t="shared" si="144"/>
        <v>455.32499999999999</v>
      </c>
      <c r="V238" s="12">
        <f t="shared" si="141"/>
        <v>35.024999999999999</v>
      </c>
      <c r="W238" s="12"/>
      <c r="X238" s="12"/>
      <c r="Y238" s="12">
        <f t="shared" si="154"/>
        <v>925.8275000000001</v>
      </c>
      <c r="Z238" s="12">
        <f t="shared" si="145"/>
        <v>60.71</v>
      </c>
      <c r="AA238" s="12">
        <f t="shared" si="143"/>
        <v>4.67</v>
      </c>
      <c r="AB238" s="38"/>
      <c r="AC238" s="38"/>
      <c r="AD238" s="38"/>
      <c r="AE238" s="38"/>
      <c r="AF238" s="37"/>
      <c r="AG238" s="37"/>
      <c r="AH238" s="37"/>
      <c r="AI238" s="12"/>
      <c r="AJ238" s="38"/>
      <c r="AK238" s="38"/>
      <c r="AL238" s="38"/>
      <c r="AM238" s="12"/>
      <c r="AN238" s="12"/>
      <c r="AO238" s="12"/>
      <c r="AP238" s="37"/>
      <c r="AQ238" s="37"/>
    </row>
    <row r="239" spans="1:43">
      <c r="A239" s="21">
        <f t="shared" si="146"/>
        <v>185</v>
      </c>
      <c r="B239" s="27" t="s">
        <v>439</v>
      </c>
      <c r="C239" s="51" t="s">
        <v>435</v>
      </c>
      <c r="D239" s="83" t="s">
        <v>408</v>
      </c>
      <c r="E239" s="84" t="s">
        <v>79</v>
      </c>
      <c r="F239" s="85" t="s">
        <v>351</v>
      </c>
      <c r="G239" s="26">
        <f t="shared" si="152"/>
        <v>467</v>
      </c>
      <c r="H239" s="32">
        <f>G239*12</f>
        <v>5604</v>
      </c>
      <c r="I239" s="32">
        <v>60</v>
      </c>
      <c r="J239" s="36"/>
      <c r="K239" s="32">
        <f>G239</f>
        <v>467</v>
      </c>
      <c r="L239" s="32">
        <v>300</v>
      </c>
      <c r="M239" s="37"/>
      <c r="N239" s="24">
        <v>125</v>
      </c>
      <c r="O239" s="24"/>
      <c r="P239" s="12">
        <f t="shared" si="153"/>
        <v>470.50250000000005</v>
      </c>
      <c r="Q239" s="40"/>
      <c r="R239" s="12">
        <f t="shared" si="151"/>
        <v>36.192500000000003</v>
      </c>
      <c r="S239" s="12"/>
      <c r="T239" s="12"/>
      <c r="U239" s="12">
        <f t="shared" si="144"/>
        <v>455.32499999999999</v>
      </c>
      <c r="V239" s="12">
        <f t="shared" si="141"/>
        <v>35.024999999999999</v>
      </c>
      <c r="W239" s="12"/>
      <c r="X239" s="12"/>
      <c r="Y239" s="12">
        <f t="shared" si="154"/>
        <v>925.8275000000001</v>
      </c>
      <c r="Z239" s="12">
        <f t="shared" si="145"/>
        <v>60.71</v>
      </c>
      <c r="AA239" s="12">
        <f t="shared" si="143"/>
        <v>4.67</v>
      </c>
      <c r="AB239" s="38"/>
      <c r="AC239" s="38"/>
      <c r="AD239" s="38"/>
      <c r="AE239" s="38"/>
      <c r="AF239" s="37"/>
      <c r="AG239" s="37"/>
      <c r="AH239" s="37"/>
      <c r="AI239" s="12"/>
      <c r="AJ239" s="38"/>
      <c r="AK239" s="38"/>
      <c r="AL239" s="38"/>
      <c r="AM239" s="12"/>
      <c r="AN239" s="12"/>
      <c r="AO239" s="12"/>
      <c r="AP239" s="37"/>
      <c r="AQ239" s="37"/>
    </row>
    <row r="240" spans="1:43">
      <c r="A240" s="21">
        <f t="shared" si="146"/>
        <v>186</v>
      </c>
      <c r="B240" s="27" t="s">
        <v>440</v>
      </c>
      <c r="C240" s="51" t="s">
        <v>435</v>
      </c>
      <c r="D240" s="83" t="s">
        <v>408</v>
      </c>
      <c r="E240" s="84" t="s">
        <v>79</v>
      </c>
      <c r="F240" s="85" t="s">
        <v>351</v>
      </c>
      <c r="G240" s="26">
        <f t="shared" si="152"/>
        <v>467</v>
      </c>
      <c r="H240" s="32">
        <f>G240*12</f>
        <v>5604</v>
      </c>
      <c r="I240" s="32">
        <v>60</v>
      </c>
      <c r="J240" s="36"/>
      <c r="K240" s="32">
        <f>G240</f>
        <v>467</v>
      </c>
      <c r="L240" s="32">
        <v>300</v>
      </c>
      <c r="M240" s="37"/>
      <c r="N240" s="24">
        <v>125</v>
      </c>
      <c r="O240" s="24"/>
      <c r="P240" s="12"/>
      <c r="Q240" s="40"/>
      <c r="R240" s="12"/>
      <c r="S240" s="12"/>
      <c r="T240" s="12"/>
      <c r="U240" s="12">
        <f t="shared" si="144"/>
        <v>455.32499999999999</v>
      </c>
      <c r="V240" s="12">
        <f t="shared" si="141"/>
        <v>35.024999999999999</v>
      </c>
      <c r="W240" s="12">
        <f>G240*0.06*13</f>
        <v>364.26</v>
      </c>
      <c r="X240" s="12">
        <f>W240/12</f>
        <v>30.355</v>
      </c>
      <c r="Y240" s="12">
        <f>P240+S240+U240+W240</f>
        <v>819.58500000000004</v>
      </c>
      <c r="Z240" s="12">
        <f t="shared" si="145"/>
        <v>60.71</v>
      </c>
      <c r="AA240" s="12">
        <f t="shared" si="143"/>
        <v>4.67</v>
      </c>
      <c r="AB240" s="38"/>
      <c r="AC240" s="38"/>
      <c r="AD240" s="38"/>
      <c r="AE240" s="38"/>
      <c r="AF240" s="37"/>
      <c r="AG240" s="38"/>
      <c r="AH240" s="37"/>
      <c r="AI240" s="12"/>
      <c r="AJ240" s="38"/>
      <c r="AK240" s="38"/>
      <c r="AL240" s="38"/>
      <c r="AM240" s="12"/>
      <c r="AN240" s="12"/>
      <c r="AO240" s="12"/>
      <c r="AP240" s="38"/>
      <c r="AQ240" s="37"/>
    </row>
    <row r="241" spans="1:43">
      <c r="A241" s="21">
        <f t="shared" si="146"/>
        <v>187</v>
      </c>
      <c r="B241" s="27" t="s">
        <v>441</v>
      </c>
      <c r="C241" s="51" t="s">
        <v>435</v>
      </c>
      <c r="D241" s="83" t="s">
        <v>408</v>
      </c>
      <c r="E241" s="84" t="s">
        <v>79</v>
      </c>
      <c r="F241" s="85" t="s">
        <v>351</v>
      </c>
      <c r="G241" s="26">
        <f t="shared" si="152"/>
        <v>467</v>
      </c>
      <c r="H241" s="32">
        <f t="shared" si="139"/>
        <v>5604</v>
      </c>
      <c r="I241" s="32">
        <v>60</v>
      </c>
      <c r="J241" s="36"/>
      <c r="K241" s="32">
        <f t="shared" si="140"/>
        <v>467</v>
      </c>
      <c r="L241" s="32">
        <v>300</v>
      </c>
      <c r="M241" s="37"/>
      <c r="N241" s="24">
        <v>125</v>
      </c>
      <c r="O241" s="24"/>
      <c r="P241" s="12">
        <f t="shared" si="153"/>
        <v>470.50250000000005</v>
      </c>
      <c r="Q241" s="9"/>
      <c r="R241" s="12">
        <f t="shared" si="151"/>
        <v>36.192500000000003</v>
      </c>
      <c r="S241" s="12"/>
      <c r="T241" s="12"/>
      <c r="U241" s="12">
        <f t="shared" si="144"/>
        <v>455.32499999999999</v>
      </c>
      <c r="V241" s="12">
        <f t="shared" si="141"/>
        <v>35.024999999999999</v>
      </c>
      <c r="W241" s="12"/>
      <c r="X241" s="12"/>
      <c r="Y241" s="12">
        <f t="shared" si="154"/>
        <v>925.8275000000001</v>
      </c>
      <c r="Z241" s="12">
        <f t="shared" si="145"/>
        <v>60.71</v>
      </c>
      <c r="AA241" s="12">
        <f t="shared" si="143"/>
        <v>4.67</v>
      </c>
      <c r="AB241" s="38"/>
      <c r="AC241" s="38"/>
      <c r="AD241" s="38"/>
      <c r="AE241" s="38"/>
      <c r="AF241" s="37"/>
      <c r="AG241" s="37"/>
      <c r="AH241" s="37"/>
      <c r="AI241" s="12"/>
      <c r="AJ241" s="38"/>
      <c r="AK241" s="38"/>
      <c r="AL241" s="38"/>
      <c r="AM241" s="12"/>
      <c r="AN241" s="12"/>
      <c r="AO241" s="12"/>
      <c r="AP241" s="37"/>
      <c r="AQ241" s="37"/>
    </row>
    <row r="242" spans="1:43">
      <c r="A242" s="21">
        <f t="shared" si="146"/>
        <v>188</v>
      </c>
      <c r="B242" s="27" t="s">
        <v>442</v>
      </c>
      <c r="C242" s="51" t="s">
        <v>435</v>
      </c>
      <c r="D242" s="83" t="s">
        <v>408</v>
      </c>
      <c r="E242" s="84" t="s">
        <v>79</v>
      </c>
      <c r="F242" s="85" t="s">
        <v>351</v>
      </c>
      <c r="G242" s="26">
        <f t="shared" si="152"/>
        <v>467</v>
      </c>
      <c r="H242" s="32">
        <f t="shared" si="139"/>
        <v>5604</v>
      </c>
      <c r="I242" s="32">
        <v>60</v>
      </c>
      <c r="J242" s="36"/>
      <c r="K242" s="32">
        <f t="shared" si="140"/>
        <v>467</v>
      </c>
      <c r="L242" s="32">
        <v>300</v>
      </c>
      <c r="M242" s="37"/>
      <c r="N242" s="24">
        <v>125</v>
      </c>
      <c r="O242" s="24"/>
      <c r="P242" s="12">
        <f t="shared" si="153"/>
        <v>470.50250000000005</v>
      </c>
      <c r="Q242" s="12"/>
      <c r="R242" s="12">
        <f>P242/13</f>
        <v>36.192500000000003</v>
      </c>
      <c r="S242" s="12"/>
      <c r="T242" s="12"/>
      <c r="U242" s="12">
        <f t="shared" si="144"/>
        <v>455.32499999999999</v>
      </c>
      <c r="V242" s="12">
        <f t="shared" si="141"/>
        <v>35.024999999999999</v>
      </c>
      <c r="W242" s="12"/>
      <c r="X242" s="12"/>
      <c r="Y242" s="12">
        <f t="shared" si="154"/>
        <v>925.8275000000001</v>
      </c>
      <c r="Z242" s="12">
        <f t="shared" si="145"/>
        <v>60.71</v>
      </c>
      <c r="AA242" s="12">
        <f t="shared" si="143"/>
        <v>4.67</v>
      </c>
      <c r="AB242" s="38"/>
      <c r="AC242" s="38"/>
      <c r="AD242" s="38"/>
      <c r="AE242" s="38"/>
      <c r="AF242" s="37"/>
      <c r="AG242" s="37"/>
      <c r="AH242" s="37"/>
      <c r="AI242" s="12"/>
      <c r="AJ242" s="38"/>
      <c r="AK242" s="38"/>
      <c r="AL242" s="38"/>
      <c r="AM242" s="12"/>
      <c r="AN242" s="12"/>
      <c r="AO242" s="12"/>
      <c r="AP242" s="37"/>
      <c r="AQ242" s="37"/>
    </row>
    <row r="243" spans="1:43">
      <c r="A243" s="21">
        <f t="shared" si="146"/>
        <v>189</v>
      </c>
      <c r="B243" s="27" t="s">
        <v>443</v>
      </c>
      <c r="C243" s="51" t="s">
        <v>444</v>
      </c>
      <c r="D243" s="83" t="s">
        <v>408</v>
      </c>
      <c r="E243" s="84" t="s">
        <v>79</v>
      </c>
      <c r="F243" s="85" t="s">
        <v>351</v>
      </c>
      <c r="G243" s="26">
        <v>417</v>
      </c>
      <c r="H243" s="32">
        <f t="shared" si="139"/>
        <v>5004</v>
      </c>
      <c r="I243" s="32">
        <v>60</v>
      </c>
      <c r="J243" s="36"/>
      <c r="K243" s="32">
        <f t="shared" si="140"/>
        <v>417</v>
      </c>
      <c r="L243" s="32">
        <v>300</v>
      </c>
      <c r="M243" s="37"/>
      <c r="N243" s="24">
        <v>125</v>
      </c>
      <c r="O243" s="24"/>
      <c r="P243" s="12">
        <f t="shared" si="153"/>
        <v>420.12750000000005</v>
      </c>
      <c r="Q243" s="9">
        <f>P243/13</f>
        <v>32.317500000000003</v>
      </c>
      <c r="R243" s="12"/>
      <c r="S243" s="12"/>
      <c r="T243" s="12"/>
      <c r="U243" s="12">
        <f t="shared" si="144"/>
        <v>406.57499999999999</v>
      </c>
      <c r="V243" s="12">
        <f t="shared" si="141"/>
        <v>31.274999999999999</v>
      </c>
      <c r="W243" s="12"/>
      <c r="X243" s="12"/>
      <c r="Y243" s="12">
        <f>P243+S243+U243+W243+0.01</f>
        <v>826.71250000000009</v>
      </c>
      <c r="Z243" s="12">
        <f t="shared" si="145"/>
        <v>54.21</v>
      </c>
      <c r="AA243" s="12">
        <f t="shared" si="143"/>
        <v>4.17</v>
      </c>
      <c r="AB243" s="38"/>
      <c r="AC243" s="38"/>
      <c r="AD243" s="38"/>
      <c r="AE243" s="38"/>
      <c r="AF243" s="37"/>
      <c r="AG243" s="37"/>
      <c r="AH243" s="37"/>
      <c r="AI243" s="12"/>
      <c r="AJ243" s="38"/>
      <c r="AK243" s="38"/>
      <c r="AL243" s="38"/>
      <c r="AM243" s="12"/>
      <c r="AN243" s="12"/>
      <c r="AO243" s="12"/>
      <c r="AP243" s="37"/>
      <c r="AQ243" s="37"/>
    </row>
    <row r="244" spans="1:43">
      <c r="A244" s="21">
        <f t="shared" si="146"/>
        <v>190</v>
      </c>
      <c r="B244" s="112" t="s">
        <v>445</v>
      </c>
      <c r="C244" s="51" t="s">
        <v>444</v>
      </c>
      <c r="D244" s="83" t="s">
        <v>408</v>
      </c>
      <c r="E244" s="84" t="s">
        <v>79</v>
      </c>
      <c r="F244" s="85" t="s">
        <v>351</v>
      </c>
      <c r="G244" s="26">
        <v>417</v>
      </c>
      <c r="H244" s="32">
        <f t="shared" si="139"/>
        <v>5004</v>
      </c>
      <c r="I244" s="32">
        <v>60</v>
      </c>
      <c r="J244" s="36"/>
      <c r="K244" s="32">
        <f t="shared" si="140"/>
        <v>417</v>
      </c>
      <c r="L244" s="32">
        <v>300</v>
      </c>
      <c r="M244" s="37"/>
      <c r="N244" s="24">
        <v>125</v>
      </c>
      <c r="O244" s="24"/>
      <c r="P244" s="12"/>
      <c r="Q244" s="40"/>
      <c r="R244" s="12"/>
      <c r="S244" s="12"/>
      <c r="T244" s="12"/>
      <c r="U244" s="12">
        <f>G244*0.075*13</f>
        <v>406.57499999999999</v>
      </c>
      <c r="V244" s="12">
        <f t="shared" si="141"/>
        <v>31.274999999999999</v>
      </c>
      <c r="W244" s="12">
        <f>G244*0.06*13</f>
        <v>325.26</v>
      </c>
      <c r="X244" s="12">
        <f>W244/12</f>
        <v>27.105</v>
      </c>
      <c r="Y244" s="12">
        <f>P244+S244+U244+W244+0.01</f>
        <v>731.84500000000003</v>
      </c>
      <c r="Z244" s="12">
        <f>G244*0.01*13</f>
        <v>54.21</v>
      </c>
      <c r="AA244" s="12">
        <f t="shared" si="143"/>
        <v>4.17</v>
      </c>
      <c r="AB244" s="38"/>
      <c r="AC244" s="38"/>
      <c r="AD244" s="38"/>
      <c r="AE244" s="38"/>
      <c r="AF244" s="37"/>
      <c r="AG244" s="37"/>
      <c r="AH244" s="37"/>
      <c r="AI244" s="12"/>
      <c r="AJ244" s="38"/>
      <c r="AK244" s="38"/>
      <c r="AL244" s="38"/>
      <c r="AM244" s="12"/>
      <c r="AN244" s="12"/>
      <c r="AO244" s="12"/>
      <c r="AP244" s="37"/>
      <c r="AQ244" s="37"/>
    </row>
    <row r="245" spans="1:43">
      <c r="A245" s="21">
        <f t="shared" si="146"/>
        <v>191</v>
      </c>
      <c r="B245" s="112" t="s">
        <v>446</v>
      </c>
      <c r="C245" s="51" t="s">
        <v>444</v>
      </c>
      <c r="D245" s="83" t="s">
        <v>408</v>
      </c>
      <c r="E245" s="84" t="s">
        <v>79</v>
      </c>
      <c r="F245" s="85" t="s">
        <v>351</v>
      </c>
      <c r="G245" s="26">
        <v>417</v>
      </c>
      <c r="H245" s="32">
        <f>G245*12</f>
        <v>5004</v>
      </c>
      <c r="I245" s="32">
        <v>60</v>
      </c>
      <c r="J245" s="36"/>
      <c r="K245" s="32">
        <f>G245</f>
        <v>417</v>
      </c>
      <c r="L245" s="32">
        <v>300</v>
      </c>
      <c r="M245" s="37"/>
      <c r="N245" s="24">
        <v>125</v>
      </c>
      <c r="O245" s="24"/>
      <c r="P245" s="12">
        <f>G245*0.0775*13</f>
        <v>420.12750000000005</v>
      </c>
      <c r="Q245" s="9">
        <f>P245/13</f>
        <v>32.317500000000003</v>
      </c>
      <c r="R245" s="12"/>
      <c r="S245" s="12"/>
      <c r="T245" s="12"/>
      <c r="U245" s="12">
        <f>G245*0.075*13</f>
        <v>406.57499999999999</v>
      </c>
      <c r="V245" s="12">
        <f>U245/13</f>
        <v>31.274999999999999</v>
      </c>
      <c r="W245" s="12"/>
      <c r="X245" s="12"/>
      <c r="Y245" s="12">
        <f>P245+S245+U245+W245+0.01</f>
        <v>826.71250000000009</v>
      </c>
      <c r="Z245" s="12">
        <f>G245*0.01*13</f>
        <v>54.21</v>
      </c>
      <c r="AA245" s="12">
        <f>Z245/13</f>
        <v>4.17</v>
      </c>
      <c r="AB245" s="38"/>
      <c r="AC245" s="38"/>
      <c r="AD245" s="38"/>
      <c r="AE245" s="38"/>
      <c r="AF245" s="37"/>
      <c r="AG245" s="37"/>
      <c r="AH245" s="37"/>
      <c r="AI245" s="12"/>
      <c r="AJ245" s="38"/>
      <c r="AK245" s="38"/>
      <c r="AL245" s="38"/>
      <c r="AM245" s="12"/>
      <c r="AN245" s="12"/>
      <c r="AO245" s="12"/>
      <c r="AP245" s="37"/>
      <c r="AQ245" s="37"/>
    </row>
    <row r="246" spans="1:43">
      <c r="A246" s="21">
        <f t="shared" si="146"/>
        <v>192</v>
      </c>
      <c r="B246" s="120" t="s">
        <v>447</v>
      </c>
      <c r="C246" s="51" t="s">
        <v>444</v>
      </c>
      <c r="D246" s="83" t="s">
        <v>408</v>
      </c>
      <c r="E246" s="84" t="s">
        <v>79</v>
      </c>
      <c r="F246" s="85" t="s">
        <v>351</v>
      </c>
      <c r="G246" s="26">
        <v>417</v>
      </c>
      <c r="H246" s="32">
        <f t="shared" si="139"/>
        <v>5004</v>
      </c>
      <c r="I246" s="32">
        <v>60</v>
      </c>
      <c r="J246" s="36"/>
      <c r="K246" s="32">
        <f t="shared" si="140"/>
        <v>417</v>
      </c>
      <c r="L246" s="32">
        <v>300</v>
      </c>
      <c r="M246" s="37"/>
      <c r="N246" s="24">
        <v>125</v>
      </c>
      <c r="O246" s="24"/>
      <c r="P246" s="12">
        <f t="shared" si="153"/>
        <v>420.12750000000005</v>
      </c>
      <c r="Q246" s="40"/>
      <c r="R246" s="12">
        <f>P246/13</f>
        <v>32.317500000000003</v>
      </c>
      <c r="S246" s="12"/>
      <c r="T246" s="12"/>
      <c r="U246" s="12">
        <f>G246*0.075*13</f>
        <v>406.57499999999999</v>
      </c>
      <c r="V246" s="12">
        <f t="shared" si="141"/>
        <v>31.274999999999999</v>
      </c>
      <c r="W246" s="12"/>
      <c r="X246" s="12"/>
      <c r="Y246" s="12">
        <f>P246+S246+U246+W246+0.01</f>
        <v>826.71250000000009</v>
      </c>
      <c r="Z246" s="12">
        <f>G246*0.01*13</f>
        <v>54.21</v>
      </c>
      <c r="AA246" s="12">
        <f t="shared" si="143"/>
        <v>4.17</v>
      </c>
      <c r="AB246" s="38"/>
      <c r="AC246" s="38"/>
      <c r="AD246" s="38"/>
      <c r="AE246" s="38"/>
      <c r="AF246" s="37"/>
      <c r="AG246" s="37"/>
      <c r="AH246" s="37"/>
      <c r="AI246" s="12"/>
      <c r="AJ246" s="38"/>
      <c r="AK246" s="38"/>
      <c r="AL246" s="38"/>
      <c r="AM246" s="12"/>
      <c r="AN246" s="12"/>
      <c r="AO246" s="12"/>
      <c r="AP246" s="37"/>
      <c r="AQ246" s="37"/>
    </row>
    <row r="247" spans="1:43">
      <c r="A247" s="21">
        <f t="shared" si="146"/>
        <v>193</v>
      </c>
      <c r="B247" s="120" t="s">
        <v>448</v>
      </c>
      <c r="C247" s="51" t="s">
        <v>444</v>
      </c>
      <c r="D247" s="83" t="s">
        <v>408</v>
      </c>
      <c r="E247" s="84" t="s">
        <v>79</v>
      </c>
      <c r="F247" s="85" t="s">
        <v>351</v>
      </c>
      <c r="G247" s="26">
        <v>417</v>
      </c>
      <c r="H247" s="32">
        <f t="shared" si="139"/>
        <v>5004</v>
      </c>
      <c r="I247" s="32">
        <v>60</v>
      </c>
      <c r="J247" s="36"/>
      <c r="K247" s="32">
        <f t="shared" si="140"/>
        <v>417</v>
      </c>
      <c r="L247" s="32">
        <v>300</v>
      </c>
      <c r="M247" s="37"/>
      <c r="N247" s="24">
        <v>125</v>
      </c>
      <c r="O247" s="24"/>
      <c r="P247" s="12">
        <f t="shared" si="153"/>
        <v>420.12750000000005</v>
      </c>
      <c r="Q247" s="40"/>
      <c r="R247" s="12">
        <f>P247/13</f>
        <v>32.317500000000003</v>
      </c>
      <c r="S247" s="12"/>
      <c r="T247" s="12"/>
      <c r="U247" s="12">
        <f t="shared" si="144"/>
        <v>406.57499999999999</v>
      </c>
      <c r="V247" s="12">
        <f t="shared" si="141"/>
        <v>31.274999999999999</v>
      </c>
      <c r="W247" s="12"/>
      <c r="X247" s="12"/>
      <c r="Y247" s="12">
        <f>P247+S247+U247+W247+0.01</f>
        <v>826.71250000000009</v>
      </c>
      <c r="Z247" s="12">
        <f t="shared" si="145"/>
        <v>54.21</v>
      </c>
      <c r="AA247" s="12">
        <f t="shared" si="143"/>
        <v>4.17</v>
      </c>
      <c r="AB247" s="38"/>
      <c r="AC247" s="38"/>
      <c r="AD247" s="38"/>
      <c r="AE247" s="38"/>
      <c r="AF247" s="37"/>
      <c r="AG247" s="37"/>
      <c r="AH247" s="37"/>
      <c r="AI247" s="12"/>
      <c r="AJ247" s="38"/>
      <c r="AK247" s="38"/>
      <c r="AL247" s="38"/>
      <c r="AM247" s="12"/>
      <c r="AN247" s="12"/>
      <c r="AO247" s="12"/>
      <c r="AP247" s="37"/>
      <c r="AQ247" s="37"/>
    </row>
    <row r="248" spans="1:43">
      <c r="A248" s="21"/>
      <c r="B248" s="15"/>
      <c r="C248" s="86" t="s">
        <v>449</v>
      </c>
      <c r="D248" s="100"/>
      <c r="E248" s="84"/>
      <c r="F248" s="85"/>
      <c r="G248" s="87">
        <f t="shared" ref="G248:O248" si="155">SUM(G212:G247)</f>
        <v>20145.449999999997</v>
      </c>
      <c r="H248" s="30">
        <f t="shared" si="155"/>
        <v>241745.40000000002</v>
      </c>
      <c r="I248" s="30">
        <f t="shared" si="155"/>
        <v>2160</v>
      </c>
      <c r="J248" s="30">
        <f t="shared" si="155"/>
        <v>0</v>
      </c>
      <c r="K248" s="30">
        <f t="shared" si="155"/>
        <v>20145.449999999997</v>
      </c>
      <c r="L248" s="30">
        <f t="shared" si="155"/>
        <v>10800</v>
      </c>
      <c r="M248" s="20">
        <f t="shared" si="155"/>
        <v>0</v>
      </c>
      <c r="N248" s="20">
        <f t="shared" si="155"/>
        <v>4500</v>
      </c>
      <c r="O248" s="20">
        <f t="shared" si="155"/>
        <v>0</v>
      </c>
      <c r="P248" s="20">
        <f>SUM(P212:P247)-0.03</f>
        <v>14361.177250000006</v>
      </c>
      <c r="Q248" s="20">
        <f>SUM(Q212:Q247)-0.01</f>
        <v>418.3466249999999</v>
      </c>
      <c r="R248" s="20">
        <f>SUM(R212:R247)-0.02</f>
        <v>686.33162500000003</v>
      </c>
      <c r="S248" s="20">
        <f>SUM(S212:S247)</f>
        <v>0</v>
      </c>
      <c r="T248" s="20">
        <f>SUM(T212:T247)</f>
        <v>0</v>
      </c>
      <c r="U248" s="20">
        <f>SUM(U212:U247)+0.14</f>
        <v>19641.953750000015</v>
      </c>
      <c r="V248" s="20">
        <f>SUM(V212:V247)+0.15</f>
        <v>1511.0587500000011</v>
      </c>
      <c r="W248" s="20">
        <f>SUM(W212:W247)</f>
        <v>4595.0969999999998</v>
      </c>
      <c r="X248" s="20">
        <f>SUM(X212:X247)+0.03</f>
        <v>382.95474999999999</v>
      </c>
      <c r="Y248" s="20">
        <f>SUM(Y212:Y247)+0.05</f>
        <v>38598.227999999996</v>
      </c>
      <c r="Z248" s="20">
        <f>SUM(Z212:Z247)</f>
        <v>2618.9084999999991</v>
      </c>
      <c r="AA248" s="20">
        <f>SUM(AA212:AA247)</f>
        <v>201.45449999999985</v>
      </c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</row>
    <row r="249" spans="1:43" ht="24.75">
      <c r="A249" s="21">
        <f>A247+1</f>
        <v>194</v>
      </c>
      <c r="B249" s="96" t="s">
        <v>450</v>
      </c>
      <c r="C249" s="56" t="s">
        <v>451</v>
      </c>
      <c r="D249" s="83" t="s">
        <v>452</v>
      </c>
      <c r="E249" s="84" t="s">
        <v>79</v>
      </c>
      <c r="F249" s="85" t="s">
        <v>351</v>
      </c>
      <c r="G249" s="26">
        <f>745+30+50</f>
        <v>825</v>
      </c>
      <c r="H249" s="32">
        <f t="shared" ref="H249:H312" si="156">G249*12</f>
        <v>9900</v>
      </c>
      <c r="I249" s="32">
        <v>60</v>
      </c>
      <c r="J249" s="36"/>
      <c r="K249" s="32">
        <f t="shared" ref="K249:K280" si="157">G249</f>
        <v>825</v>
      </c>
      <c r="L249" s="32">
        <v>300</v>
      </c>
      <c r="M249" s="37"/>
      <c r="N249" s="24">
        <v>125</v>
      </c>
      <c r="O249" s="24"/>
      <c r="P249" s="12">
        <f>G249*0.0775*13</f>
        <v>831.1875</v>
      </c>
      <c r="Q249" s="9">
        <f>P249/13</f>
        <v>63.9375</v>
      </c>
      <c r="R249" s="12"/>
      <c r="S249" s="12"/>
      <c r="T249" s="12"/>
      <c r="U249" s="12">
        <f t="shared" si="144"/>
        <v>804.375</v>
      </c>
      <c r="V249" s="12">
        <f t="shared" ref="V249:V317" si="158">U249/13</f>
        <v>61.875</v>
      </c>
      <c r="W249" s="12"/>
      <c r="X249" s="12"/>
      <c r="Y249" s="12">
        <f>P249+S249+U249+W249+0.01</f>
        <v>1635.5725</v>
      </c>
      <c r="Z249" s="12">
        <f>G249*0.01*13</f>
        <v>107.25</v>
      </c>
      <c r="AA249" s="12">
        <f>Z249/13</f>
        <v>8.25</v>
      </c>
      <c r="AB249" s="12">
        <f>G249/30/7*1.5*45</f>
        <v>265.17857142857139</v>
      </c>
      <c r="AC249" s="12">
        <v>192.86</v>
      </c>
      <c r="AD249" s="12">
        <f>AB249-AC249</f>
        <v>72.318571428571374</v>
      </c>
      <c r="AE249" s="12">
        <f>AB249*0.0775</f>
        <v>20.551339285714281</v>
      </c>
      <c r="AF249" s="12"/>
      <c r="AG249" s="12">
        <f t="shared" ref="AG249:AG312" si="159">AB249*0.075</f>
        <v>19.888392857142854</v>
      </c>
      <c r="AH249" s="12"/>
      <c r="AI249" s="12">
        <f>AE249+AF249+AG249+AH249</f>
        <v>40.439732142857139</v>
      </c>
      <c r="AJ249" s="12">
        <f t="shared" ref="AJ249:AJ312" si="160">AB249*0.01</f>
        <v>2.651785714285714</v>
      </c>
      <c r="AK249" s="38"/>
      <c r="AL249" s="38"/>
      <c r="AM249" s="12"/>
      <c r="AN249" s="12"/>
      <c r="AO249" s="12"/>
      <c r="AP249" s="37"/>
      <c r="AQ249" s="37"/>
    </row>
    <row r="250" spans="1:43" ht="24.75">
      <c r="A250" s="21">
        <f>A249+1</f>
        <v>195</v>
      </c>
      <c r="B250" s="27" t="s">
        <v>453</v>
      </c>
      <c r="C250" s="56" t="s">
        <v>454</v>
      </c>
      <c r="D250" s="83" t="s">
        <v>452</v>
      </c>
      <c r="E250" s="84" t="s">
        <v>79</v>
      </c>
      <c r="F250" s="85" t="s">
        <v>351</v>
      </c>
      <c r="G250" s="26">
        <f>745+30+50</f>
        <v>825</v>
      </c>
      <c r="H250" s="32">
        <f t="shared" si="156"/>
        <v>9900</v>
      </c>
      <c r="I250" s="32">
        <v>60</v>
      </c>
      <c r="J250" s="36"/>
      <c r="K250" s="32">
        <f t="shared" si="157"/>
        <v>825</v>
      </c>
      <c r="L250" s="32">
        <v>300</v>
      </c>
      <c r="M250" s="37"/>
      <c r="N250" s="24">
        <v>125</v>
      </c>
      <c r="O250" s="24"/>
      <c r="P250" s="12">
        <f>G250*0.0775*13</f>
        <v>831.1875</v>
      </c>
      <c r="Q250" s="9">
        <f>P250/13</f>
        <v>63.9375</v>
      </c>
      <c r="R250" s="12"/>
      <c r="S250" s="12"/>
      <c r="T250" s="12"/>
      <c r="U250" s="12">
        <f t="shared" si="144"/>
        <v>804.375</v>
      </c>
      <c r="V250" s="12">
        <f t="shared" si="158"/>
        <v>61.875</v>
      </c>
      <c r="W250" s="12"/>
      <c r="X250" s="12"/>
      <c r="Y250" s="12">
        <f>P250+S250+U250+W250+0.01</f>
        <v>1635.5725</v>
      </c>
      <c r="Z250" s="12">
        <f>G250*0.01*13</f>
        <v>107.25</v>
      </c>
      <c r="AA250" s="12">
        <f>Z250/13</f>
        <v>8.25</v>
      </c>
      <c r="AB250" s="12">
        <f>G250/30/7*1.5*45</f>
        <v>265.17857142857139</v>
      </c>
      <c r="AC250" s="12">
        <v>192.86</v>
      </c>
      <c r="AD250" s="12">
        <f>AB250-AC250</f>
        <v>72.318571428571374</v>
      </c>
      <c r="AE250" s="12">
        <f>AB250*0.0775</f>
        <v>20.551339285714281</v>
      </c>
      <c r="AF250" s="12"/>
      <c r="AG250" s="12">
        <f t="shared" si="159"/>
        <v>19.888392857142854</v>
      </c>
      <c r="AH250" s="12"/>
      <c r="AI250" s="12">
        <f>AE250+AF250+AG250+AH250</f>
        <v>40.439732142857139</v>
      </c>
      <c r="AJ250" s="12">
        <f t="shared" si="160"/>
        <v>2.651785714285714</v>
      </c>
      <c r="AK250" s="38"/>
      <c r="AL250" s="38"/>
      <c r="AM250" s="12"/>
      <c r="AN250" s="12"/>
      <c r="AO250" s="12"/>
      <c r="AP250" s="37"/>
      <c r="AQ250" s="37"/>
    </row>
    <row r="251" spans="1:43" ht="24.75">
      <c r="A251" s="21">
        <f>A250+1</f>
        <v>196</v>
      </c>
      <c r="B251" s="27" t="s">
        <v>455</v>
      </c>
      <c r="C251" s="56" t="s">
        <v>143</v>
      </c>
      <c r="D251" s="83" t="s">
        <v>452</v>
      </c>
      <c r="E251" s="84" t="s">
        <v>79</v>
      </c>
      <c r="F251" s="85" t="s">
        <v>351</v>
      </c>
      <c r="G251" s="26">
        <f>467+30+50</f>
        <v>547</v>
      </c>
      <c r="H251" s="32">
        <f>G251*12</f>
        <v>6564</v>
      </c>
      <c r="I251" s="32">
        <v>60</v>
      </c>
      <c r="J251" s="36"/>
      <c r="K251" s="32">
        <f>G251</f>
        <v>547</v>
      </c>
      <c r="L251" s="32">
        <v>300</v>
      </c>
      <c r="M251" s="12"/>
      <c r="N251" s="24">
        <v>125</v>
      </c>
      <c r="O251" s="24"/>
      <c r="P251" s="12">
        <f>G251*0.0775*13</f>
        <v>551.10249999999996</v>
      </c>
      <c r="Q251" s="40"/>
      <c r="R251" s="12">
        <f>P251/13</f>
        <v>42.392499999999998</v>
      </c>
      <c r="S251" s="37"/>
      <c r="T251" s="37"/>
      <c r="U251" s="12">
        <f>G251*0.075*13</f>
        <v>533.32499999999993</v>
      </c>
      <c r="V251" s="12">
        <f>U251/13</f>
        <v>41.024999999999991</v>
      </c>
      <c r="W251" s="37"/>
      <c r="X251" s="37"/>
      <c r="Y251" s="12">
        <f>P251+S251+U251+W251</f>
        <v>1084.4274999999998</v>
      </c>
      <c r="Z251" s="12">
        <f>G251*0.01*13</f>
        <v>71.11</v>
      </c>
      <c r="AA251" s="12">
        <f>Z251/13</f>
        <v>5.47</v>
      </c>
      <c r="AB251" s="37"/>
      <c r="AC251" s="37"/>
      <c r="AD251" s="37"/>
      <c r="AE251" s="37"/>
      <c r="AF251" s="37"/>
      <c r="AG251" s="37"/>
      <c r="AH251" s="37"/>
      <c r="AI251" s="12"/>
      <c r="AJ251" s="37"/>
      <c r="AK251" s="37"/>
      <c r="AL251" s="37"/>
      <c r="AM251" s="12"/>
      <c r="AN251" s="12"/>
      <c r="AO251" s="12"/>
      <c r="AP251" s="37"/>
      <c r="AQ251" s="37"/>
    </row>
    <row r="252" spans="1:43" ht="24.75">
      <c r="A252" s="21">
        <f>A251+1</f>
        <v>197</v>
      </c>
      <c r="B252" s="27" t="s">
        <v>456</v>
      </c>
      <c r="C252" s="56" t="s">
        <v>91</v>
      </c>
      <c r="D252" s="83" t="s">
        <v>452</v>
      </c>
      <c r="E252" s="84" t="s">
        <v>79</v>
      </c>
      <c r="F252" s="85" t="s">
        <v>351</v>
      </c>
      <c r="G252" s="26">
        <f>417+50</f>
        <v>467</v>
      </c>
      <c r="H252" s="32">
        <f>G252*12</f>
        <v>5604</v>
      </c>
      <c r="I252" s="32">
        <v>60</v>
      </c>
      <c r="J252" s="36"/>
      <c r="K252" s="32">
        <f>G252</f>
        <v>467</v>
      </c>
      <c r="L252" s="32">
        <v>300</v>
      </c>
      <c r="M252" s="37"/>
      <c r="N252" s="24">
        <v>125</v>
      </c>
      <c r="O252" s="24"/>
      <c r="P252" s="12">
        <f>G252*0.0775*13</f>
        <v>470.50250000000005</v>
      </c>
      <c r="Q252" s="12"/>
      <c r="R252" s="12">
        <f>P252/13</f>
        <v>36.192500000000003</v>
      </c>
      <c r="S252" s="12"/>
      <c r="T252" s="12"/>
      <c r="U252" s="12">
        <f>G252*0.075*13</f>
        <v>455.32499999999999</v>
      </c>
      <c r="V252" s="12">
        <f>U252/13</f>
        <v>35.024999999999999</v>
      </c>
      <c r="W252" s="12"/>
      <c r="X252" s="12"/>
      <c r="Y252" s="12">
        <f>P252+S252+U252+W252</f>
        <v>925.8275000000001</v>
      </c>
      <c r="Z252" s="12">
        <f>G252*0.01*13</f>
        <v>60.71</v>
      </c>
      <c r="AA252" s="12">
        <f>Z252/13</f>
        <v>4.67</v>
      </c>
      <c r="AB252" s="12">
        <f>G252/30/7*1.5*45</f>
        <v>150.10714285714286</v>
      </c>
      <c r="AC252" s="12">
        <v>192.86</v>
      </c>
      <c r="AD252" s="12">
        <f>AB252-AC252</f>
        <v>-42.752857142857152</v>
      </c>
      <c r="AE252" s="12">
        <f>AB252*0.0775</f>
        <v>11.633303571428572</v>
      </c>
      <c r="AF252" s="37"/>
      <c r="AG252" s="12">
        <f t="shared" ref="AG252" si="161">AB252*0.075</f>
        <v>11.258035714285715</v>
      </c>
      <c r="AH252" s="12"/>
      <c r="AI252" s="12">
        <f>AE252+AF252+AG252+AH252</f>
        <v>22.891339285714288</v>
      </c>
      <c r="AJ252" s="12">
        <f t="shared" ref="AJ252" si="162">AB252*0.01</f>
        <v>1.5010714285714286</v>
      </c>
      <c r="AK252" s="38"/>
      <c r="AL252" s="38"/>
      <c r="AM252" s="12"/>
      <c r="AN252" s="12"/>
      <c r="AO252" s="12"/>
      <c r="AP252" s="38"/>
      <c r="AQ252" s="37"/>
    </row>
    <row r="253" spans="1:43">
      <c r="A253" s="28"/>
      <c r="B253" s="15"/>
      <c r="C253" s="86" t="s">
        <v>457</v>
      </c>
      <c r="D253" s="83"/>
      <c r="E253" s="84"/>
      <c r="F253" s="85"/>
      <c r="G253" s="26"/>
      <c r="H253" s="32"/>
      <c r="I253" s="32"/>
      <c r="J253" s="36"/>
      <c r="K253" s="32"/>
      <c r="L253" s="32"/>
      <c r="M253" s="37"/>
      <c r="N253" s="24"/>
      <c r="O253" s="9"/>
      <c r="P253" s="12"/>
      <c r="Q253" s="40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38"/>
      <c r="AL253" s="38"/>
      <c r="AM253" s="38"/>
      <c r="AN253" s="38"/>
      <c r="AO253" s="38"/>
      <c r="AP253" s="37"/>
      <c r="AQ253" s="37"/>
    </row>
    <row r="254" spans="1:43" ht="24.75">
      <c r="A254" s="21">
        <f>A252+1</f>
        <v>198</v>
      </c>
      <c r="B254" s="112" t="s">
        <v>458</v>
      </c>
      <c r="C254" s="56" t="s">
        <v>459</v>
      </c>
      <c r="D254" s="83" t="s">
        <v>452</v>
      </c>
      <c r="E254" s="84" t="s">
        <v>79</v>
      </c>
      <c r="F254" s="85" t="s">
        <v>351</v>
      </c>
      <c r="G254" s="26">
        <v>500</v>
      </c>
      <c r="H254" s="32">
        <f>G254*12</f>
        <v>6000</v>
      </c>
      <c r="I254" s="32">
        <v>60</v>
      </c>
      <c r="J254" s="36"/>
      <c r="K254" s="32">
        <f>G254</f>
        <v>500</v>
      </c>
      <c r="L254" s="32">
        <v>300</v>
      </c>
      <c r="M254" s="37"/>
      <c r="N254" s="24">
        <v>125</v>
      </c>
      <c r="O254" s="24"/>
      <c r="P254" s="12">
        <f>G254*0.0775*13</f>
        <v>503.75</v>
      </c>
      <c r="Q254" s="9"/>
      <c r="R254" s="12">
        <f>P254/13</f>
        <v>38.75</v>
      </c>
      <c r="S254" s="12"/>
      <c r="T254" s="12"/>
      <c r="U254" s="12">
        <f>G254*0.075*13</f>
        <v>487.5</v>
      </c>
      <c r="V254" s="12">
        <f>U254/13</f>
        <v>37.5</v>
      </c>
      <c r="W254" s="12"/>
      <c r="X254" s="12"/>
      <c r="Y254" s="12">
        <f>P254+S254+U254+W254+0.01</f>
        <v>991.26</v>
      </c>
      <c r="Z254" s="12">
        <f>G254*0.01*13</f>
        <v>65</v>
      </c>
      <c r="AA254" s="12">
        <f>Z254/13</f>
        <v>5</v>
      </c>
      <c r="AB254" s="12">
        <f>G254/30/7*1.5*45</f>
        <v>160.71428571428569</v>
      </c>
      <c r="AC254" s="12">
        <v>164.29</v>
      </c>
      <c r="AD254" s="12">
        <f>AB254-AC254</f>
        <v>-3.5757142857142981</v>
      </c>
      <c r="AE254" s="12">
        <f>AB254*0.0775</f>
        <v>12.455357142857141</v>
      </c>
      <c r="AF254" s="12"/>
      <c r="AG254" s="12">
        <f>AB254*0.075</f>
        <v>12.053571428571427</v>
      </c>
      <c r="AH254" s="12"/>
      <c r="AI254" s="12">
        <f>AE254+AF254+AG254+AH254</f>
        <v>24.508928571428569</v>
      </c>
      <c r="AJ254" s="12">
        <f>AB254*0.01</f>
        <v>1.607142857142857</v>
      </c>
      <c r="AK254" s="37"/>
      <c r="AL254" s="37"/>
      <c r="AM254" s="12"/>
      <c r="AN254" s="12"/>
      <c r="AO254" s="12"/>
      <c r="AP254" s="37"/>
      <c r="AQ254" s="37"/>
    </row>
    <row r="255" spans="1:43" ht="24.75">
      <c r="A255" s="21">
        <f>A254+1</f>
        <v>199</v>
      </c>
      <c r="B255" s="27" t="s">
        <v>460</v>
      </c>
      <c r="C255" s="56" t="s">
        <v>461</v>
      </c>
      <c r="D255" s="83" t="s">
        <v>452</v>
      </c>
      <c r="E255" s="84" t="s">
        <v>79</v>
      </c>
      <c r="F255" s="85" t="s">
        <v>351</v>
      </c>
      <c r="G255" s="26">
        <f>712+30+50</f>
        <v>792</v>
      </c>
      <c r="H255" s="32">
        <f>G255*12</f>
        <v>9504</v>
      </c>
      <c r="I255" s="32">
        <v>60</v>
      </c>
      <c r="J255" s="36"/>
      <c r="K255" s="32">
        <f>G255</f>
        <v>792</v>
      </c>
      <c r="L255" s="32">
        <v>300</v>
      </c>
      <c r="M255" s="37"/>
      <c r="N255" s="24">
        <v>125</v>
      </c>
      <c r="O255" s="24"/>
      <c r="P255" s="12">
        <f t="shared" ref="P255:P269" si="163">G255*0.0775*13</f>
        <v>797.94</v>
      </c>
      <c r="Q255" s="9">
        <f>P255/13</f>
        <v>61.38</v>
      </c>
      <c r="R255" s="12"/>
      <c r="S255" s="12"/>
      <c r="T255" s="12"/>
      <c r="U255" s="12">
        <f>G255*0.075*13</f>
        <v>772.19999999999993</v>
      </c>
      <c r="V255" s="12">
        <f t="shared" si="158"/>
        <v>59.399999999999991</v>
      </c>
      <c r="W255" s="12"/>
      <c r="X255" s="12"/>
      <c r="Y255" s="12">
        <f>P255+S255+U255+W255</f>
        <v>1570.1399999999999</v>
      </c>
      <c r="Z255" s="12">
        <f t="shared" ref="Z255:Z269" si="164">G255*0.01*13</f>
        <v>102.96</v>
      </c>
      <c r="AA255" s="12">
        <f t="shared" ref="AA255:AA269" si="165">Z255/13</f>
        <v>7.92</v>
      </c>
      <c r="AB255" s="12">
        <f t="shared" ref="AB255:AB269" si="166">G255/30/7*1.5*45</f>
        <v>254.57142857142856</v>
      </c>
      <c r="AC255" s="12"/>
      <c r="AD255" s="12"/>
      <c r="AE255" s="12">
        <f t="shared" ref="AE255:AE269" si="167">AB255*0.0775</f>
        <v>19.729285714285712</v>
      </c>
      <c r="AF255" s="12"/>
      <c r="AG255" s="12">
        <f>AB255*0.075</f>
        <v>19.092857142857142</v>
      </c>
      <c r="AH255" s="12"/>
      <c r="AI255" s="12">
        <f>AE255+AF255+AG255+AH255</f>
        <v>38.82214285714285</v>
      </c>
      <c r="AJ255" s="12">
        <f>AB255*0.01</f>
        <v>2.5457142857142858</v>
      </c>
      <c r="AK255" s="38"/>
      <c r="AL255" s="38"/>
      <c r="AM255" s="12"/>
      <c r="AN255" s="12"/>
      <c r="AO255" s="12"/>
      <c r="AP255" s="37"/>
      <c r="AQ255" s="37"/>
    </row>
    <row r="256" spans="1:43" ht="24.75">
      <c r="A256" s="21">
        <f t="shared" ref="A256:A269" si="168">A255+1</f>
        <v>200</v>
      </c>
      <c r="B256" s="27" t="s">
        <v>462</v>
      </c>
      <c r="C256" s="56" t="s">
        <v>461</v>
      </c>
      <c r="D256" s="83" t="s">
        <v>452</v>
      </c>
      <c r="E256" s="84" t="s">
        <v>79</v>
      </c>
      <c r="F256" s="85" t="s">
        <v>351</v>
      </c>
      <c r="G256" s="26">
        <f>694.29+30+50</f>
        <v>774.29</v>
      </c>
      <c r="H256" s="32">
        <f t="shared" si="156"/>
        <v>9291.48</v>
      </c>
      <c r="I256" s="32">
        <v>60</v>
      </c>
      <c r="J256" s="36"/>
      <c r="K256" s="32">
        <f t="shared" si="157"/>
        <v>774.29</v>
      </c>
      <c r="L256" s="32">
        <v>300</v>
      </c>
      <c r="M256" s="37"/>
      <c r="N256" s="24">
        <v>125</v>
      </c>
      <c r="O256" s="24"/>
      <c r="P256" s="12">
        <f t="shared" si="163"/>
        <v>780.09717499999999</v>
      </c>
      <c r="Q256" s="9">
        <f>P256/13</f>
        <v>60.007474999999999</v>
      </c>
      <c r="R256" s="12"/>
      <c r="S256" s="12"/>
      <c r="T256" s="12"/>
      <c r="U256" s="12">
        <f>G256*0.075*13</f>
        <v>754.93274999999994</v>
      </c>
      <c r="V256" s="12">
        <f t="shared" si="158"/>
        <v>58.071749999999994</v>
      </c>
      <c r="W256" s="12"/>
      <c r="X256" s="12"/>
      <c r="Y256" s="12">
        <f>P256+S256+U256+W256</f>
        <v>1535.0299249999998</v>
      </c>
      <c r="Z256" s="12">
        <f t="shared" si="164"/>
        <v>100.65769999999999</v>
      </c>
      <c r="AA256" s="12">
        <f t="shared" si="165"/>
        <v>7.7428999999999997</v>
      </c>
      <c r="AB256" s="12">
        <f t="shared" si="166"/>
        <v>248.87892857142853</v>
      </c>
      <c r="AC256" s="12"/>
      <c r="AD256" s="12"/>
      <c r="AE256" s="12">
        <f t="shared" si="167"/>
        <v>19.28811696428571</v>
      </c>
      <c r="AF256" s="12"/>
      <c r="AG256" s="12">
        <f t="shared" si="159"/>
        <v>18.665919642857141</v>
      </c>
      <c r="AH256" s="12"/>
      <c r="AI256" s="12">
        <f>AE256+AF256+AG256+AH256+0.01</f>
        <v>37.964036607142852</v>
      </c>
      <c r="AJ256" s="12">
        <f t="shared" si="160"/>
        <v>2.4887892857142853</v>
      </c>
      <c r="AK256" s="38"/>
      <c r="AL256" s="38"/>
      <c r="AM256" s="12"/>
      <c r="AN256" s="12"/>
      <c r="AO256" s="12"/>
      <c r="AP256" s="37"/>
      <c r="AQ256" s="37"/>
    </row>
    <row r="257" spans="1:43" ht="24.75">
      <c r="A257" s="21">
        <f t="shared" si="168"/>
        <v>201</v>
      </c>
      <c r="B257" s="27" t="s">
        <v>463</v>
      </c>
      <c r="C257" s="56" t="s">
        <v>464</v>
      </c>
      <c r="D257" s="83" t="s">
        <v>452</v>
      </c>
      <c r="E257" s="84" t="s">
        <v>79</v>
      </c>
      <c r="F257" s="85" t="s">
        <v>351</v>
      </c>
      <c r="G257" s="26">
        <f>547+30+50</f>
        <v>627</v>
      </c>
      <c r="H257" s="32">
        <f t="shared" si="156"/>
        <v>7524</v>
      </c>
      <c r="I257" s="32">
        <v>60</v>
      </c>
      <c r="J257" s="36"/>
      <c r="K257" s="32">
        <f t="shared" si="157"/>
        <v>627</v>
      </c>
      <c r="L257" s="32">
        <v>300</v>
      </c>
      <c r="M257" s="37"/>
      <c r="N257" s="24">
        <v>125</v>
      </c>
      <c r="O257" s="24"/>
      <c r="P257" s="12">
        <f t="shared" si="163"/>
        <v>631.70249999999999</v>
      </c>
      <c r="Q257" s="40"/>
      <c r="R257" s="12">
        <f>P257/13</f>
        <v>48.592500000000001</v>
      </c>
      <c r="S257" s="12"/>
      <c r="T257" s="12"/>
      <c r="U257" s="12">
        <f t="shared" ref="U257:U269" si="169">G257*0.075*13</f>
        <v>611.32499999999993</v>
      </c>
      <c r="V257" s="12">
        <f t="shared" si="158"/>
        <v>47.024999999999991</v>
      </c>
      <c r="W257" s="12"/>
      <c r="X257" s="12"/>
      <c r="Y257" s="12">
        <f>P257+S257+U257+W257</f>
        <v>1243.0274999999999</v>
      </c>
      <c r="Z257" s="12">
        <f t="shared" si="164"/>
        <v>81.510000000000005</v>
      </c>
      <c r="AA257" s="12">
        <f t="shared" si="165"/>
        <v>6.2700000000000005</v>
      </c>
      <c r="AB257" s="12">
        <f t="shared" si="166"/>
        <v>201.53571428571425</v>
      </c>
      <c r="AC257" s="12"/>
      <c r="AD257" s="12"/>
      <c r="AE257" s="12">
        <f t="shared" si="167"/>
        <v>15.619017857142854</v>
      </c>
      <c r="AF257" s="12"/>
      <c r="AG257" s="12">
        <f t="shared" si="159"/>
        <v>15.115178571428569</v>
      </c>
      <c r="AH257" s="12"/>
      <c r="AI257" s="12">
        <f>AE257+AF257+AG257+AH257+0.01</f>
        <v>30.744196428571424</v>
      </c>
      <c r="AJ257" s="12">
        <f t="shared" si="160"/>
        <v>2.0153571428571424</v>
      </c>
      <c r="AK257" s="38"/>
      <c r="AL257" s="38"/>
      <c r="AM257" s="12"/>
      <c r="AN257" s="12"/>
      <c r="AO257" s="12"/>
      <c r="AP257" s="37"/>
      <c r="AQ257" s="37"/>
    </row>
    <row r="258" spans="1:43" ht="24.75">
      <c r="A258" s="21">
        <f t="shared" si="168"/>
        <v>202</v>
      </c>
      <c r="B258" s="27" t="s">
        <v>465</v>
      </c>
      <c r="C258" s="56" t="s">
        <v>464</v>
      </c>
      <c r="D258" s="83" t="s">
        <v>452</v>
      </c>
      <c r="E258" s="84" t="s">
        <v>79</v>
      </c>
      <c r="F258" s="85" t="s">
        <v>351</v>
      </c>
      <c r="G258" s="26">
        <f>547+30+50</f>
        <v>627</v>
      </c>
      <c r="H258" s="32">
        <f t="shared" si="156"/>
        <v>7524</v>
      </c>
      <c r="I258" s="32">
        <v>60</v>
      </c>
      <c r="J258" s="36"/>
      <c r="K258" s="32">
        <f t="shared" si="157"/>
        <v>627</v>
      </c>
      <c r="L258" s="32">
        <v>300</v>
      </c>
      <c r="M258" s="37"/>
      <c r="N258" s="24">
        <v>125</v>
      </c>
      <c r="O258" s="24"/>
      <c r="P258" s="12">
        <f t="shared" si="163"/>
        <v>631.70249999999999</v>
      </c>
      <c r="Q258" s="9">
        <f>P258/13</f>
        <v>48.592500000000001</v>
      </c>
      <c r="R258" s="12"/>
      <c r="S258" s="12"/>
      <c r="T258" s="12"/>
      <c r="U258" s="12">
        <f t="shared" si="169"/>
        <v>611.32499999999993</v>
      </c>
      <c r="V258" s="12">
        <f t="shared" si="158"/>
        <v>47.024999999999991</v>
      </c>
      <c r="W258" s="12"/>
      <c r="X258" s="12"/>
      <c r="Y258" s="12">
        <f>P258+S258+U258+W258</f>
        <v>1243.0274999999999</v>
      </c>
      <c r="Z258" s="12">
        <f t="shared" si="164"/>
        <v>81.510000000000005</v>
      </c>
      <c r="AA258" s="12">
        <f t="shared" si="165"/>
        <v>6.2700000000000005</v>
      </c>
      <c r="AB258" s="12">
        <f t="shared" si="166"/>
        <v>201.53571428571425</v>
      </c>
      <c r="AC258" s="12"/>
      <c r="AD258" s="12"/>
      <c r="AE258" s="12">
        <f t="shared" si="167"/>
        <v>15.619017857142854</v>
      </c>
      <c r="AF258" s="12"/>
      <c r="AG258" s="12">
        <f t="shared" si="159"/>
        <v>15.115178571428569</v>
      </c>
      <c r="AH258" s="12"/>
      <c r="AI258" s="12">
        <f>AE258+AF258+AG258+AH258+0.01</f>
        <v>30.744196428571424</v>
      </c>
      <c r="AJ258" s="12">
        <f t="shared" si="160"/>
        <v>2.0153571428571424</v>
      </c>
      <c r="AK258" s="38"/>
      <c r="AL258" s="38"/>
      <c r="AM258" s="12"/>
      <c r="AN258" s="12"/>
      <c r="AO258" s="12"/>
      <c r="AP258" s="37"/>
      <c r="AQ258" s="37"/>
    </row>
    <row r="259" spans="1:43" ht="24.75">
      <c r="A259" s="21">
        <f t="shared" si="168"/>
        <v>203</v>
      </c>
      <c r="B259" s="27" t="s">
        <v>466</v>
      </c>
      <c r="C259" s="56" t="s">
        <v>467</v>
      </c>
      <c r="D259" s="83" t="s">
        <v>452</v>
      </c>
      <c r="E259" s="84" t="s">
        <v>79</v>
      </c>
      <c r="F259" s="85" t="s">
        <v>351</v>
      </c>
      <c r="G259" s="26">
        <f>467+30+50</f>
        <v>547</v>
      </c>
      <c r="H259" s="32">
        <f t="shared" si="156"/>
        <v>6564</v>
      </c>
      <c r="I259" s="32">
        <v>60</v>
      </c>
      <c r="J259" s="36"/>
      <c r="K259" s="32">
        <f t="shared" si="157"/>
        <v>547</v>
      </c>
      <c r="L259" s="32">
        <v>300</v>
      </c>
      <c r="M259" s="37"/>
      <c r="N259" s="24">
        <v>125</v>
      </c>
      <c r="O259" s="24"/>
      <c r="P259" s="12">
        <f t="shared" si="163"/>
        <v>551.10249999999996</v>
      </c>
      <c r="Q259" s="12"/>
      <c r="R259" s="12">
        <f>P259/13</f>
        <v>42.392499999999998</v>
      </c>
      <c r="S259" s="12"/>
      <c r="T259" s="12"/>
      <c r="U259" s="12">
        <f t="shared" si="169"/>
        <v>533.32499999999993</v>
      </c>
      <c r="V259" s="12">
        <f t="shared" si="158"/>
        <v>41.024999999999991</v>
      </c>
      <c r="W259" s="12"/>
      <c r="X259" s="12"/>
      <c r="Y259" s="12">
        <f>P259+S259+U259+W259</f>
        <v>1084.4274999999998</v>
      </c>
      <c r="Z259" s="12">
        <f t="shared" si="164"/>
        <v>71.11</v>
      </c>
      <c r="AA259" s="12">
        <f t="shared" si="165"/>
        <v>5.47</v>
      </c>
      <c r="AB259" s="12">
        <f t="shared" si="166"/>
        <v>175.82142857142858</v>
      </c>
      <c r="AC259" s="12"/>
      <c r="AD259" s="12"/>
      <c r="AE259" s="12">
        <f t="shared" si="167"/>
        <v>13.626160714285716</v>
      </c>
      <c r="AF259" s="12"/>
      <c r="AG259" s="12">
        <f t="shared" si="159"/>
        <v>13.186607142857143</v>
      </c>
      <c r="AH259" s="12"/>
      <c r="AI259" s="12">
        <f>AE259+AF259+AG259+AH259+0.01</f>
        <v>26.82276785714286</v>
      </c>
      <c r="AJ259" s="12">
        <f t="shared" si="160"/>
        <v>1.758214285714286</v>
      </c>
      <c r="AK259" s="38"/>
      <c r="AL259" s="38"/>
      <c r="AM259" s="12"/>
      <c r="AN259" s="12"/>
      <c r="AO259" s="12"/>
      <c r="AP259" s="37"/>
      <c r="AQ259" s="37"/>
    </row>
    <row r="260" spans="1:43" ht="24.75">
      <c r="A260" s="21">
        <f t="shared" si="168"/>
        <v>204</v>
      </c>
      <c r="B260" s="27" t="s">
        <v>468</v>
      </c>
      <c r="C260" s="56" t="s">
        <v>467</v>
      </c>
      <c r="D260" s="83" t="s">
        <v>452</v>
      </c>
      <c r="E260" s="84" t="s">
        <v>79</v>
      </c>
      <c r="F260" s="85" t="s">
        <v>351</v>
      </c>
      <c r="G260" s="26">
        <f>417+30+50</f>
        <v>497</v>
      </c>
      <c r="H260" s="32">
        <f>G260*12</f>
        <v>5964</v>
      </c>
      <c r="I260" s="32">
        <v>60</v>
      </c>
      <c r="J260" s="36"/>
      <c r="K260" s="32">
        <f>G260</f>
        <v>497</v>
      </c>
      <c r="L260" s="32">
        <v>300</v>
      </c>
      <c r="M260" s="37"/>
      <c r="N260" s="24">
        <v>125</v>
      </c>
      <c r="O260" s="24"/>
      <c r="P260" s="12">
        <f t="shared" si="163"/>
        <v>500.72749999999996</v>
      </c>
      <c r="Q260" s="40"/>
      <c r="R260" s="12">
        <f>P260/13</f>
        <v>38.517499999999998</v>
      </c>
      <c r="S260" s="12"/>
      <c r="T260" s="12"/>
      <c r="U260" s="12">
        <f t="shared" si="169"/>
        <v>484.57499999999999</v>
      </c>
      <c r="V260" s="12">
        <f t="shared" si="158"/>
        <v>37.274999999999999</v>
      </c>
      <c r="W260" s="12"/>
      <c r="X260" s="12"/>
      <c r="Y260" s="12">
        <f>P260+S260+U260+W260+0.01</f>
        <v>985.3125</v>
      </c>
      <c r="Z260" s="12">
        <f t="shared" si="164"/>
        <v>64.61</v>
      </c>
      <c r="AA260" s="12">
        <f t="shared" si="165"/>
        <v>4.97</v>
      </c>
      <c r="AB260" s="12">
        <f>G260/30/7*1.5*45</f>
        <v>159.75</v>
      </c>
      <c r="AC260" s="12"/>
      <c r="AD260" s="12"/>
      <c r="AE260" s="12">
        <f t="shared" si="167"/>
        <v>12.380625</v>
      </c>
      <c r="AF260" s="12"/>
      <c r="AG260" s="12">
        <f>AB260*0.075</f>
        <v>11.981249999999999</v>
      </c>
      <c r="AH260" s="12"/>
      <c r="AI260" s="12">
        <f>AE260+AF260+AG260+AH260</f>
        <v>24.361874999999998</v>
      </c>
      <c r="AJ260" s="12">
        <f>AB260*0.01</f>
        <v>1.5975000000000001</v>
      </c>
      <c r="AK260" s="38"/>
      <c r="AL260" s="38"/>
      <c r="AM260" s="12"/>
      <c r="AN260" s="12"/>
      <c r="AO260" s="12"/>
      <c r="AP260" s="38"/>
      <c r="AQ260" s="37"/>
    </row>
    <row r="261" spans="1:43" ht="24.75">
      <c r="A261" s="21">
        <f t="shared" si="168"/>
        <v>205</v>
      </c>
      <c r="B261" s="109" t="s">
        <v>469</v>
      </c>
      <c r="C261" s="56" t="s">
        <v>470</v>
      </c>
      <c r="D261" s="83" t="s">
        <v>452</v>
      </c>
      <c r="E261" s="84" t="s">
        <v>79</v>
      </c>
      <c r="F261" s="85" t="s">
        <v>351</v>
      </c>
      <c r="G261" s="26">
        <f>621.72+30+50</f>
        <v>701.72</v>
      </c>
      <c r="H261" s="32">
        <f t="shared" si="156"/>
        <v>8420.64</v>
      </c>
      <c r="I261" s="32">
        <v>60</v>
      </c>
      <c r="J261" s="36"/>
      <c r="K261" s="32">
        <f t="shared" si="157"/>
        <v>701.72</v>
      </c>
      <c r="L261" s="32">
        <v>300</v>
      </c>
      <c r="M261" s="37"/>
      <c r="N261" s="24">
        <v>125</v>
      </c>
      <c r="O261" s="24"/>
      <c r="P261" s="12">
        <f t="shared" si="163"/>
        <v>706.98289999999997</v>
      </c>
      <c r="Q261" s="9">
        <f>P261/13</f>
        <v>54.383299999999998</v>
      </c>
      <c r="R261" s="12"/>
      <c r="S261" s="12"/>
      <c r="T261" s="12"/>
      <c r="U261" s="12">
        <f t="shared" si="169"/>
        <v>684.17700000000002</v>
      </c>
      <c r="V261" s="12">
        <f t="shared" si="158"/>
        <v>52.629000000000005</v>
      </c>
      <c r="W261" s="12"/>
      <c r="X261" s="12"/>
      <c r="Y261" s="12">
        <f>P261+S261+U261+W261</f>
        <v>1391.1599000000001</v>
      </c>
      <c r="Z261" s="12">
        <f t="shared" si="164"/>
        <v>91.223600000000005</v>
      </c>
      <c r="AA261" s="12">
        <f t="shared" si="165"/>
        <v>7.0172000000000008</v>
      </c>
      <c r="AB261" s="12">
        <f t="shared" si="166"/>
        <v>225.55285714285716</v>
      </c>
      <c r="AC261" s="12"/>
      <c r="AD261" s="12"/>
      <c r="AE261" s="12">
        <f t="shared" si="167"/>
        <v>17.48034642857143</v>
      </c>
      <c r="AF261" s="12"/>
      <c r="AG261" s="12">
        <f t="shared" si="159"/>
        <v>16.916464285714287</v>
      </c>
      <c r="AH261" s="12"/>
      <c r="AI261" s="12">
        <f>AE261+AF261+AG261+AH261</f>
        <v>34.396810714285721</v>
      </c>
      <c r="AJ261" s="12">
        <f t="shared" si="160"/>
        <v>2.2555285714285715</v>
      </c>
      <c r="AK261" s="38"/>
      <c r="AL261" s="38"/>
      <c r="AM261" s="12"/>
      <c r="AN261" s="12"/>
      <c r="AO261" s="12"/>
      <c r="AP261" s="37"/>
      <c r="AQ261" s="37"/>
    </row>
    <row r="262" spans="1:43" ht="24.75">
      <c r="A262" s="21">
        <f t="shared" si="168"/>
        <v>206</v>
      </c>
      <c r="B262" s="27" t="s">
        <v>471</v>
      </c>
      <c r="C262" s="56" t="s">
        <v>470</v>
      </c>
      <c r="D262" s="83" t="s">
        <v>452</v>
      </c>
      <c r="E262" s="84" t="s">
        <v>79</v>
      </c>
      <c r="F262" s="85" t="s">
        <v>351</v>
      </c>
      <c r="G262" s="26">
        <f>621.72+30+50</f>
        <v>701.72</v>
      </c>
      <c r="H262" s="32">
        <f t="shared" si="156"/>
        <v>8420.64</v>
      </c>
      <c r="I262" s="32">
        <v>60</v>
      </c>
      <c r="J262" s="36"/>
      <c r="K262" s="32">
        <f t="shared" si="157"/>
        <v>701.72</v>
      </c>
      <c r="L262" s="32">
        <v>300</v>
      </c>
      <c r="M262" s="37"/>
      <c r="N262" s="24">
        <v>125</v>
      </c>
      <c r="O262" s="24"/>
      <c r="P262" s="12">
        <f t="shared" si="163"/>
        <v>706.98289999999997</v>
      </c>
      <c r="Q262" s="40"/>
      <c r="R262" s="12">
        <f>P262/13</f>
        <v>54.383299999999998</v>
      </c>
      <c r="S262" s="12"/>
      <c r="T262" s="12"/>
      <c r="U262" s="12">
        <f t="shared" si="169"/>
        <v>684.17700000000002</v>
      </c>
      <c r="V262" s="12">
        <f t="shared" si="158"/>
        <v>52.629000000000005</v>
      </c>
      <c r="W262" s="12"/>
      <c r="X262" s="12"/>
      <c r="Y262" s="12">
        <f>P262+S262+U262+W262</f>
        <v>1391.1599000000001</v>
      </c>
      <c r="Z262" s="12">
        <f t="shared" si="164"/>
        <v>91.223600000000005</v>
      </c>
      <c r="AA262" s="12">
        <f t="shared" si="165"/>
        <v>7.0172000000000008</v>
      </c>
      <c r="AB262" s="12">
        <f t="shared" si="166"/>
        <v>225.55285714285716</v>
      </c>
      <c r="AC262" s="12">
        <v>157.63</v>
      </c>
      <c r="AD262" s="12">
        <f>AB262-AC262</f>
        <v>67.922857142857168</v>
      </c>
      <c r="AE262" s="12">
        <f t="shared" si="167"/>
        <v>17.48034642857143</v>
      </c>
      <c r="AF262" s="12"/>
      <c r="AG262" s="12">
        <f t="shared" si="159"/>
        <v>16.916464285714287</v>
      </c>
      <c r="AH262" s="12"/>
      <c r="AI262" s="12">
        <f>AE262+AF262+AG262+AH262</f>
        <v>34.396810714285721</v>
      </c>
      <c r="AJ262" s="12">
        <f t="shared" si="160"/>
        <v>2.2555285714285715</v>
      </c>
      <c r="AK262" s="37"/>
      <c r="AL262" s="37"/>
      <c r="AM262" s="12"/>
      <c r="AN262" s="12"/>
      <c r="AO262" s="12"/>
      <c r="AP262" s="37"/>
      <c r="AQ262" s="37"/>
    </row>
    <row r="263" spans="1:43" ht="24.75">
      <c r="A263" s="21">
        <f t="shared" si="168"/>
        <v>207</v>
      </c>
      <c r="B263" s="27" t="s">
        <v>472</v>
      </c>
      <c r="C263" s="56" t="s">
        <v>473</v>
      </c>
      <c r="D263" s="83" t="s">
        <v>452</v>
      </c>
      <c r="E263" s="84" t="s">
        <v>79</v>
      </c>
      <c r="F263" s="85" t="s">
        <v>351</v>
      </c>
      <c r="G263" s="26">
        <f>614.86+30+50</f>
        <v>694.86</v>
      </c>
      <c r="H263" s="32">
        <f t="shared" si="156"/>
        <v>8338.32</v>
      </c>
      <c r="I263" s="32">
        <v>60</v>
      </c>
      <c r="J263" s="36"/>
      <c r="K263" s="32">
        <f t="shared" si="157"/>
        <v>694.86</v>
      </c>
      <c r="L263" s="32">
        <v>300</v>
      </c>
      <c r="M263" s="37"/>
      <c r="N263" s="24">
        <v>125</v>
      </c>
      <c r="O263" s="24"/>
      <c r="P263" s="12">
        <f t="shared" si="163"/>
        <v>700.07145000000003</v>
      </c>
      <c r="Q263" s="40"/>
      <c r="R263" s="12">
        <f>P263/13</f>
        <v>53.851649999999999</v>
      </c>
      <c r="S263" s="12"/>
      <c r="T263" s="12"/>
      <c r="U263" s="12">
        <f t="shared" si="169"/>
        <v>677.48850000000004</v>
      </c>
      <c r="V263" s="12">
        <f t="shared" si="158"/>
        <v>52.114500000000007</v>
      </c>
      <c r="W263" s="12"/>
      <c r="X263" s="12"/>
      <c r="Y263" s="12">
        <f>P263+S263+U263+W263</f>
        <v>1377.5599500000001</v>
      </c>
      <c r="Z263" s="12">
        <f t="shared" si="164"/>
        <v>90.331800000000001</v>
      </c>
      <c r="AA263" s="12">
        <f t="shared" si="165"/>
        <v>6.9485999999999999</v>
      </c>
      <c r="AB263" s="12">
        <f t="shared" si="166"/>
        <v>223.34785714285712</v>
      </c>
      <c r="AC263" s="12"/>
      <c r="AD263" s="12"/>
      <c r="AE263" s="12">
        <f t="shared" si="167"/>
        <v>17.309458928571427</v>
      </c>
      <c r="AF263" s="12"/>
      <c r="AG263" s="12">
        <f t="shared" si="159"/>
        <v>16.751089285714283</v>
      </c>
      <c r="AH263" s="12"/>
      <c r="AI263" s="12">
        <f t="shared" ref="AI263:AI266" si="170">AE263+AF263+AG263+AH263</f>
        <v>34.06054821428571</v>
      </c>
      <c r="AJ263" s="12">
        <f t="shared" si="160"/>
        <v>2.2334785714285714</v>
      </c>
      <c r="AK263" s="37"/>
      <c r="AL263" s="37"/>
      <c r="AM263" s="12"/>
      <c r="AN263" s="12"/>
      <c r="AO263" s="12"/>
      <c r="AP263" s="37"/>
      <c r="AQ263" s="37"/>
    </row>
    <row r="264" spans="1:43" ht="24.75">
      <c r="A264" s="21">
        <f t="shared" si="168"/>
        <v>208</v>
      </c>
      <c r="B264" s="27" t="s">
        <v>474</v>
      </c>
      <c r="C264" s="56" t="s">
        <v>475</v>
      </c>
      <c r="D264" s="83" t="s">
        <v>452</v>
      </c>
      <c r="E264" s="84" t="s">
        <v>79</v>
      </c>
      <c r="F264" s="85" t="s">
        <v>351</v>
      </c>
      <c r="G264" s="26">
        <f>517+30+50</f>
        <v>597</v>
      </c>
      <c r="H264" s="32">
        <f>G264*12</f>
        <v>7164</v>
      </c>
      <c r="I264" s="32">
        <v>60</v>
      </c>
      <c r="J264" s="36"/>
      <c r="K264" s="32">
        <f>G264</f>
        <v>597</v>
      </c>
      <c r="L264" s="32">
        <v>300</v>
      </c>
      <c r="M264" s="37"/>
      <c r="N264" s="24">
        <v>125</v>
      </c>
      <c r="O264" s="24"/>
      <c r="P264" s="12">
        <f>G264*0.0775*13</f>
        <v>601.47749999999996</v>
      </c>
      <c r="Q264" s="40"/>
      <c r="R264" s="12">
        <f>P264/13</f>
        <v>46.267499999999998</v>
      </c>
      <c r="S264" s="12"/>
      <c r="T264" s="12"/>
      <c r="U264" s="12">
        <f>G264*0.075*13</f>
        <v>582.07499999999993</v>
      </c>
      <c r="V264" s="12">
        <f>U264/13</f>
        <v>44.774999999999991</v>
      </c>
      <c r="W264" s="12"/>
      <c r="X264" s="12"/>
      <c r="Y264" s="12">
        <f>P264+S264+U264+W264+0.01</f>
        <v>1183.5624999999998</v>
      </c>
      <c r="Z264" s="12">
        <f>G264*0.01*13</f>
        <v>77.61</v>
      </c>
      <c r="AA264" s="12">
        <f>Z264/13</f>
        <v>5.97</v>
      </c>
      <c r="AB264" s="12">
        <f>G264/30/7*1.5*45</f>
        <v>191.89285714285714</v>
      </c>
      <c r="AC264" s="12">
        <v>207.14</v>
      </c>
      <c r="AD264" s="12"/>
      <c r="AE264" s="12">
        <f>AB264*0.0775</f>
        <v>14.871696428571429</v>
      </c>
      <c r="AF264" s="12"/>
      <c r="AG264" s="12">
        <f>AB264*0.075</f>
        <v>14.391964285714284</v>
      </c>
      <c r="AH264" s="12"/>
      <c r="AI264" s="12">
        <f>AE264+AF264+AG264+AH264</f>
        <v>29.263660714285713</v>
      </c>
      <c r="AJ264" s="12">
        <f>AB264*0.01</f>
        <v>1.9189285714285713</v>
      </c>
      <c r="AK264" s="38"/>
      <c r="AL264" s="38"/>
      <c r="AM264" s="12"/>
      <c r="AN264" s="12"/>
      <c r="AO264" s="12"/>
      <c r="AP264" s="38"/>
      <c r="AQ264" s="37"/>
    </row>
    <row r="265" spans="1:43" ht="24.75">
      <c r="A265" s="21">
        <f t="shared" si="168"/>
        <v>209</v>
      </c>
      <c r="B265" s="27" t="s">
        <v>476</v>
      </c>
      <c r="C265" s="56" t="s">
        <v>477</v>
      </c>
      <c r="D265" s="83" t="s">
        <v>452</v>
      </c>
      <c r="E265" s="84" t="s">
        <v>79</v>
      </c>
      <c r="F265" s="85" t="s">
        <v>351</v>
      </c>
      <c r="G265" s="26">
        <f>669.15+30+50</f>
        <v>749.15</v>
      </c>
      <c r="H265" s="32">
        <f t="shared" ref="H265:H269" si="171">G265*12</f>
        <v>8989.7999999999993</v>
      </c>
      <c r="I265" s="32">
        <v>60</v>
      </c>
      <c r="J265" s="36"/>
      <c r="K265" s="32">
        <f t="shared" ref="K265:K269" si="172">G265</f>
        <v>749.15</v>
      </c>
      <c r="L265" s="32">
        <v>300</v>
      </c>
      <c r="M265" s="37"/>
      <c r="N265" s="24">
        <v>125</v>
      </c>
      <c r="O265" s="24"/>
      <c r="P265" s="12">
        <f t="shared" si="163"/>
        <v>754.76862499999993</v>
      </c>
      <c r="Q265" s="9">
        <f>P265/13</f>
        <v>58.059124999999995</v>
      </c>
      <c r="R265" s="12"/>
      <c r="S265" s="37"/>
      <c r="T265" s="37"/>
      <c r="U265" s="12">
        <f t="shared" si="169"/>
        <v>730.42124999999987</v>
      </c>
      <c r="V265" s="12">
        <f t="shared" si="158"/>
        <v>56.186249999999987</v>
      </c>
      <c r="W265" s="37"/>
      <c r="X265" s="37"/>
      <c r="Y265" s="12">
        <f t="shared" ref="Y265:Y268" si="173">P265+S265+U265+W265</f>
        <v>1485.1898749999998</v>
      </c>
      <c r="Z265" s="12">
        <f t="shared" si="164"/>
        <v>97.389499999999998</v>
      </c>
      <c r="AA265" s="12">
        <f t="shared" si="165"/>
        <v>7.4915000000000003</v>
      </c>
      <c r="AB265" s="12">
        <f t="shared" si="166"/>
        <v>240.79821428571427</v>
      </c>
      <c r="AC265" s="12"/>
      <c r="AD265" s="12"/>
      <c r="AE265" s="12">
        <f t="shared" si="167"/>
        <v>18.661861607142857</v>
      </c>
      <c r="AF265" s="12"/>
      <c r="AG265" s="12">
        <f t="shared" ref="AG265:AG269" si="174">AB265*0.075</f>
        <v>18.059866071428569</v>
      </c>
      <c r="AH265" s="12"/>
      <c r="AI265" s="12">
        <f t="shared" si="170"/>
        <v>36.721727678571426</v>
      </c>
      <c r="AJ265" s="12">
        <f t="shared" ref="AJ265:AJ269" si="175">AB265*0.01</f>
        <v>2.4079821428571426</v>
      </c>
      <c r="AK265" s="38"/>
      <c r="AL265" s="38"/>
      <c r="AM265" s="12"/>
      <c r="AN265" s="12"/>
      <c r="AO265" s="12"/>
      <c r="AP265" s="38"/>
      <c r="AQ265" s="37"/>
    </row>
    <row r="266" spans="1:43" ht="24.75">
      <c r="A266" s="21">
        <f t="shared" si="168"/>
        <v>210</v>
      </c>
      <c r="B266" s="109" t="s">
        <v>478</v>
      </c>
      <c r="C266" s="56" t="s">
        <v>479</v>
      </c>
      <c r="D266" s="83" t="s">
        <v>452</v>
      </c>
      <c r="E266" s="84" t="s">
        <v>79</v>
      </c>
      <c r="F266" s="85" t="s">
        <v>351</v>
      </c>
      <c r="G266" s="26">
        <f>669.15+30+50</f>
        <v>749.15</v>
      </c>
      <c r="H266" s="32">
        <f t="shared" si="171"/>
        <v>8989.7999999999993</v>
      </c>
      <c r="I266" s="32">
        <v>60</v>
      </c>
      <c r="J266" s="36"/>
      <c r="K266" s="32">
        <f t="shared" si="172"/>
        <v>749.15</v>
      </c>
      <c r="L266" s="32">
        <v>300</v>
      </c>
      <c r="M266" s="37"/>
      <c r="N266" s="24">
        <v>125</v>
      </c>
      <c r="O266" s="24"/>
      <c r="P266" s="12">
        <f t="shared" si="163"/>
        <v>754.76862499999993</v>
      </c>
      <c r="Q266" s="9">
        <f>P266/13</f>
        <v>58.059124999999995</v>
      </c>
      <c r="R266" s="12"/>
      <c r="S266" s="37"/>
      <c r="T266" s="37"/>
      <c r="U266" s="12">
        <f t="shared" si="169"/>
        <v>730.42124999999987</v>
      </c>
      <c r="V266" s="12">
        <f t="shared" si="158"/>
        <v>56.186249999999987</v>
      </c>
      <c r="W266" s="37"/>
      <c r="X266" s="37"/>
      <c r="Y266" s="12">
        <f t="shared" si="173"/>
        <v>1485.1898749999998</v>
      </c>
      <c r="Z266" s="12">
        <f t="shared" si="164"/>
        <v>97.389499999999998</v>
      </c>
      <c r="AA266" s="12">
        <f t="shared" si="165"/>
        <v>7.4915000000000003</v>
      </c>
      <c r="AB266" s="12">
        <f t="shared" si="166"/>
        <v>240.79821428571427</v>
      </c>
      <c r="AC266" s="12"/>
      <c r="AD266" s="12"/>
      <c r="AE266" s="12">
        <f t="shared" si="167"/>
        <v>18.661861607142857</v>
      </c>
      <c r="AF266" s="12"/>
      <c r="AG266" s="12">
        <f t="shared" si="174"/>
        <v>18.059866071428569</v>
      </c>
      <c r="AH266" s="12"/>
      <c r="AI266" s="12">
        <f t="shared" si="170"/>
        <v>36.721727678571426</v>
      </c>
      <c r="AJ266" s="12">
        <f t="shared" si="175"/>
        <v>2.4079821428571426</v>
      </c>
      <c r="AK266" s="38"/>
      <c r="AL266" s="38"/>
      <c r="AM266" s="12"/>
      <c r="AN266" s="12"/>
      <c r="AO266" s="12"/>
      <c r="AP266" s="38"/>
      <c r="AQ266" s="37"/>
    </row>
    <row r="267" spans="1:43" ht="24.75">
      <c r="A267" s="21">
        <f t="shared" si="168"/>
        <v>211</v>
      </c>
      <c r="B267" s="27" t="s">
        <v>480</v>
      </c>
      <c r="C267" s="56" t="s">
        <v>481</v>
      </c>
      <c r="D267" s="83" t="s">
        <v>452</v>
      </c>
      <c r="E267" s="84" t="s">
        <v>79</v>
      </c>
      <c r="F267" s="85" t="s">
        <v>351</v>
      </c>
      <c r="G267" s="26">
        <f>547+30+50</f>
        <v>627</v>
      </c>
      <c r="H267" s="32">
        <f t="shared" si="171"/>
        <v>7524</v>
      </c>
      <c r="I267" s="32">
        <v>60</v>
      </c>
      <c r="J267" s="36"/>
      <c r="K267" s="32">
        <f t="shared" si="172"/>
        <v>627</v>
      </c>
      <c r="L267" s="32">
        <v>300</v>
      </c>
      <c r="M267" s="37"/>
      <c r="N267" s="24">
        <v>125</v>
      </c>
      <c r="O267" s="24"/>
      <c r="P267" s="12">
        <f t="shared" si="163"/>
        <v>631.70249999999999</v>
      </c>
      <c r="Q267" s="9">
        <f>P267/13</f>
        <v>48.592500000000001</v>
      </c>
      <c r="R267" s="12"/>
      <c r="S267" s="37"/>
      <c r="T267" s="37"/>
      <c r="U267" s="12">
        <f t="shared" si="169"/>
        <v>611.32499999999993</v>
      </c>
      <c r="V267" s="12">
        <f t="shared" si="158"/>
        <v>47.024999999999991</v>
      </c>
      <c r="W267" s="37"/>
      <c r="X267" s="37"/>
      <c r="Y267" s="12">
        <f>P267+S267+U267+W267</f>
        <v>1243.0274999999999</v>
      </c>
      <c r="Z267" s="12">
        <f t="shared" si="164"/>
        <v>81.510000000000005</v>
      </c>
      <c r="AA267" s="12">
        <f t="shared" si="165"/>
        <v>6.2700000000000005</v>
      </c>
      <c r="AB267" s="12">
        <f t="shared" si="166"/>
        <v>201.53571428571425</v>
      </c>
      <c r="AC267" s="12"/>
      <c r="AD267" s="12"/>
      <c r="AE267" s="12">
        <f t="shared" si="167"/>
        <v>15.619017857142854</v>
      </c>
      <c r="AF267" s="12"/>
      <c r="AG267" s="12">
        <f t="shared" si="174"/>
        <v>15.115178571428569</v>
      </c>
      <c r="AH267" s="12"/>
      <c r="AI267" s="12">
        <f>AE267+AF267+AG267+AH267+0.01</f>
        <v>30.744196428571424</v>
      </c>
      <c r="AJ267" s="12">
        <f t="shared" si="175"/>
        <v>2.0153571428571424</v>
      </c>
      <c r="AK267" s="38"/>
      <c r="AL267" s="38"/>
      <c r="AM267" s="12"/>
      <c r="AN267" s="12"/>
      <c r="AO267" s="12"/>
      <c r="AP267" s="38"/>
      <c r="AQ267" s="37"/>
    </row>
    <row r="268" spans="1:43" ht="24.75">
      <c r="A268" s="21">
        <f t="shared" si="168"/>
        <v>212</v>
      </c>
      <c r="B268" s="27" t="s">
        <v>482</v>
      </c>
      <c r="C268" s="56" t="s">
        <v>483</v>
      </c>
      <c r="D268" s="83" t="s">
        <v>452</v>
      </c>
      <c r="E268" s="84" t="s">
        <v>79</v>
      </c>
      <c r="F268" s="85" t="s">
        <v>351</v>
      </c>
      <c r="G268" s="26">
        <f>669.15+30+50</f>
        <v>749.15</v>
      </c>
      <c r="H268" s="32">
        <f t="shared" si="171"/>
        <v>8989.7999999999993</v>
      </c>
      <c r="I268" s="32">
        <v>60</v>
      </c>
      <c r="J268" s="36"/>
      <c r="K268" s="32">
        <f t="shared" si="172"/>
        <v>749.15</v>
      </c>
      <c r="L268" s="32">
        <v>300</v>
      </c>
      <c r="M268" s="37"/>
      <c r="N268" s="24">
        <v>125</v>
      </c>
      <c r="O268" s="24"/>
      <c r="P268" s="12">
        <f t="shared" si="163"/>
        <v>754.76862499999993</v>
      </c>
      <c r="Q268" s="40"/>
      <c r="R268" s="12">
        <f>P268/13</f>
        <v>58.059124999999995</v>
      </c>
      <c r="S268" s="37"/>
      <c r="T268" s="37"/>
      <c r="U268" s="12">
        <f t="shared" si="169"/>
        <v>730.42124999999987</v>
      </c>
      <c r="V268" s="12">
        <f t="shared" si="158"/>
        <v>56.186249999999987</v>
      </c>
      <c r="W268" s="37"/>
      <c r="X268" s="37"/>
      <c r="Y268" s="12">
        <f t="shared" si="173"/>
        <v>1485.1898749999998</v>
      </c>
      <c r="Z268" s="12">
        <f t="shared" si="164"/>
        <v>97.389499999999998</v>
      </c>
      <c r="AA268" s="12">
        <f t="shared" si="165"/>
        <v>7.4915000000000003</v>
      </c>
      <c r="AB268" s="12">
        <f t="shared" si="166"/>
        <v>240.79821428571427</v>
      </c>
      <c r="AC268" s="12"/>
      <c r="AD268" s="12"/>
      <c r="AE268" s="12">
        <f t="shared" si="167"/>
        <v>18.661861607142857</v>
      </c>
      <c r="AF268" s="12"/>
      <c r="AG268" s="12">
        <f t="shared" si="174"/>
        <v>18.059866071428569</v>
      </c>
      <c r="AH268" s="12"/>
      <c r="AI268" s="12">
        <f>AE268+AF268+AG268+AH268</f>
        <v>36.721727678571426</v>
      </c>
      <c r="AJ268" s="12">
        <f t="shared" si="175"/>
        <v>2.4079821428571426</v>
      </c>
      <c r="AK268" s="38"/>
      <c r="AL268" s="38"/>
      <c r="AM268" s="12"/>
      <c r="AN268" s="12"/>
      <c r="AO268" s="12"/>
      <c r="AP268" s="38"/>
      <c r="AQ268" s="37"/>
    </row>
    <row r="269" spans="1:43" ht="24.75">
      <c r="A269" s="21">
        <f t="shared" si="168"/>
        <v>213</v>
      </c>
      <c r="B269" s="27" t="s">
        <v>484</v>
      </c>
      <c r="C269" s="56" t="s">
        <v>485</v>
      </c>
      <c r="D269" s="83" t="s">
        <v>452</v>
      </c>
      <c r="E269" s="84" t="s">
        <v>79</v>
      </c>
      <c r="F269" s="85" t="s">
        <v>351</v>
      </c>
      <c r="G269" s="26">
        <f>547+30+50</f>
        <v>627</v>
      </c>
      <c r="H269" s="32">
        <f t="shared" si="171"/>
        <v>7524</v>
      </c>
      <c r="I269" s="32">
        <v>60</v>
      </c>
      <c r="J269" s="36"/>
      <c r="K269" s="32">
        <f t="shared" si="172"/>
        <v>627</v>
      </c>
      <c r="L269" s="32">
        <v>300</v>
      </c>
      <c r="M269" s="37"/>
      <c r="N269" s="24">
        <v>125</v>
      </c>
      <c r="O269" s="24"/>
      <c r="P269" s="12">
        <f t="shared" si="163"/>
        <v>631.70249999999999</v>
      </c>
      <c r="Q269" s="40"/>
      <c r="R269" s="12">
        <f>P269/13</f>
        <v>48.592500000000001</v>
      </c>
      <c r="S269" s="37"/>
      <c r="T269" s="37"/>
      <c r="U269" s="12">
        <f t="shared" si="169"/>
        <v>611.32499999999993</v>
      </c>
      <c r="V269" s="12">
        <f t="shared" si="158"/>
        <v>47.024999999999991</v>
      </c>
      <c r="W269" s="37"/>
      <c r="X269" s="37"/>
      <c r="Y269" s="12">
        <f>P269+S269+U269+W269</f>
        <v>1243.0274999999999</v>
      </c>
      <c r="Z269" s="12">
        <f t="shared" si="164"/>
        <v>81.510000000000005</v>
      </c>
      <c r="AA269" s="12">
        <f t="shared" si="165"/>
        <v>6.2700000000000005</v>
      </c>
      <c r="AB269" s="12">
        <f t="shared" si="166"/>
        <v>201.53571428571425</v>
      </c>
      <c r="AC269" s="12"/>
      <c r="AD269" s="12"/>
      <c r="AE269" s="12">
        <f t="shared" si="167"/>
        <v>15.619017857142854</v>
      </c>
      <c r="AF269" s="12"/>
      <c r="AG269" s="12">
        <f t="shared" si="174"/>
        <v>15.115178571428569</v>
      </c>
      <c r="AH269" s="12"/>
      <c r="AI269" s="12">
        <f>AE269+AF269+AG269+AH269+0.01</f>
        <v>30.744196428571424</v>
      </c>
      <c r="AJ269" s="12">
        <f t="shared" si="175"/>
        <v>2.0153571428571424</v>
      </c>
      <c r="AK269" s="38"/>
      <c r="AL269" s="38"/>
      <c r="AM269" s="12"/>
      <c r="AN269" s="12"/>
      <c r="AO269" s="12"/>
      <c r="AP269" s="38"/>
      <c r="AQ269" s="37"/>
    </row>
    <row r="270" spans="1:43">
      <c r="A270" s="49"/>
      <c r="B270" s="60"/>
      <c r="C270" s="86" t="s">
        <v>486</v>
      </c>
      <c r="D270" s="83"/>
      <c r="E270" s="84"/>
      <c r="F270" s="85"/>
      <c r="G270" s="26"/>
      <c r="H270" s="32"/>
      <c r="I270" s="32"/>
      <c r="J270" s="36"/>
      <c r="K270" s="32"/>
      <c r="L270" s="32"/>
      <c r="M270" s="37"/>
      <c r="N270" s="24"/>
      <c r="O270" s="9"/>
      <c r="P270" s="12"/>
      <c r="Q270" s="40"/>
      <c r="R270" s="20"/>
      <c r="S270" s="37"/>
      <c r="T270" s="37"/>
      <c r="U270" s="12"/>
      <c r="V270" s="20"/>
      <c r="W270" s="37"/>
      <c r="X270" s="37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38"/>
      <c r="AL270" s="38"/>
      <c r="AM270" s="38"/>
      <c r="AN270" s="38"/>
      <c r="AO270" s="38"/>
      <c r="AP270" s="38"/>
      <c r="AQ270" s="37"/>
    </row>
    <row r="271" spans="1:43" ht="24.75">
      <c r="A271" s="21">
        <f>A269+1</f>
        <v>214</v>
      </c>
      <c r="B271" s="27" t="s">
        <v>487</v>
      </c>
      <c r="C271" s="56" t="s">
        <v>488</v>
      </c>
      <c r="D271" s="83" t="s">
        <v>452</v>
      </c>
      <c r="E271" s="84" t="s">
        <v>79</v>
      </c>
      <c r="F271" s="85" t="s">
        <v>351</v>
      </c>
      <c r="G271" s="26">
        <f>740+30+50</f>
        <v>820</v>
      </c>
      <c r="H271" s="32">
        <f>G271*12</f>
        <v>9840</v>
      </c>
      <c r="I271" s="32">
        <v>60</v>
      </c>
      <c r="J271" s="36"/>
      <c r="K271" s="32">
        <f>G271</f>
        <v>820</v>
      </c>
      <c r="L271" s="32">
        <v>300</v>
      </c>
      <c r="M271" s="37"/>
      <c r="N271" s="24">
        <v>125</v>
      </c>
      <c r="O271" s="24"/>
      <c r="P271" s="12">
        <f>G271*0.0775*13</f>
        <v>826.15</v>
      </c>
      <c r="Q271" s="9"/>
      <c r="R271" s="12">
        <f>P271/13</f>
        <v>63.55</v>
      </c>
      <c r="S271" s="12"/>
      <c r="T271" s="12"/>
      <c r="U271" s="12">
        <f>G271*0.075*13</f>
        <v>799.5</v>
      </c>
      <c r="V271" s="12">
        <f>U271/13</f>
        <v>61.5</v>
      </c>
      <c r="W271" s="12"/>
      <c r="X271" s="12"/>
      <c r="Y271" s="12">
        <f>P271+S271+U271+W271</f>
        <v>1625.65</v>
      </c>
      <c r="Z271" s="12">
        <f>G271*0.01*13</f>
        <v>106.6</v>
      </c>
      <c r="AA271" s="12">
        <f>Z271/13</f>
        <v>8.1999999999999993</v>
      </c>
      <c r="AB271" s="12">
        <f>G271/30/7*1.5*45</f>
        <v>263.57142857142856</v>
      </c>
      <c r="AC271" s="12">
        <v>192.86</v>
      </c>
      <c r="AD271" s="12">
        <f>AB271-AC271</f>
        <v>70.711428571428542</v>
      </c>
      <c r="AE271" s="12">
        <f>AB271*0.0775</f>
        <v>20.426785714285714</v>
      </c>
      <c r="AF271" s="37"/>
      <c r="AG271" s="12">
        <f t="shared" ref="AG271" si="176">AB271*0.075</f>
        <v>19.767857142857142</v>
      </c>
      <c r="AH271" s="12"/>
      <c r="AI271" s="12">
        <f>AE271+AF271+AG271+AH271+0.01</f>
        <v>40.204642857142851</v>
      </c>
      <c r="AJ271" s="12">
        <f t="shared" ref="AJ271" si="177">AB271*0.01</f>
        <v>2.6357142857142857</v>
      </c>
      <c r="AK271" s="38"/>
      <c r="AL271" s="38"/>
      <c r="AM271" s="12"/>
      <c r="AN271" s="12"/>
      <c r="AO271" s="12"/>
      <c r="AP271" s="38"/>
      <c r="AQ271" s="37"/>
    </row>
    <row r="272" spans="1:43" ht="24.75">
      <c r="A272" s="21">
        <f>A271+1</f>
        <v>215</v>
      </c>
      <c r="B272" s="109" t="s">
        <v>489</v>
      </c>
      <c r="C272" s="56" t="s">
        <v>490</v>
      </c>
      <c r="D272" s="83" t="s">
        <v>452</v>
      </c>
      <c r="E272" s="84" t="s">
        <v>79</v>
      </c>
      <c r="F272" s="85" t="s">
        <v>351</v>
      </c>
      <c r="G272" s="26">
        <f>614.86+30+50</f>
        <v>694.86</v>
      </c>
      <c r="H272" s="32">
        <f t="shared" si="156"/>
        <v>8338.32</v>
      </c>
      <c r="I272" s="32">
        <v>60</v>
      </c>
      <c r="J272" s="36"/>
      <c r="K272" s="32">
        <f t="shared" si="157"/>
        <v>694.86</v>
      </c>
      <c r="L272" s="32">
        <v>300</v>
      </c>
      <c r="M272" s="37"/>
      <c r="N272" s="24">
        <v>125</v>
      </c>
      <c r="O272" s="24"/>
      <c r="P272" s="12">
        <f t="shared" ref="P272:P325" si="178">G272*0.0775*13</f>
        <v>700.07145000000003</v>
      </c>
      <c r="Q272" s="40"/>
      <c r="R272" s="12">
        <f>P272/13</f>
        <v>53.851649999999999</v>
      </c>
      <c r="S272" s="12"/>
      <c r="T272" s="12"/>
      <c r="U272" s="12">
        <f t="shared" ref="U272:U292" si="179">G272*0.075*13</f>
        <v>677.48850000000004</v>
      </c>
      <c r="V272" s="12">
        <f t="shared" si="158"/>
        <v>52.114500000000007</v>
      </c>
      <c r="W272" s="12"/>
      <c r="X272" s="12"/>
      <c r="Y272" s="12">
        <f>P272+S272+U272+W272</f>
        <v>1377.5599500000001</v>
      </c>
      <c r="Z272" s="12">
        <f t="shared" ref="Z272:Z286" si="180">G272*0.01*13</f>
        <v>90.331800000000001</v>
      </c>
      <c r="AA272" s="12">
        <f t="shared" ref="AA272:AA325" si="181">Z272/13</f>
        <v>6.9485999999999999</v>
      </c>
      <c r="AB272" s="12">
        <f t="shared" ref="AB272:AB323" si="182">G272/30/7*1.5*45</f>
        <v>223.34785714285712</v>
      </c>
      <c r="AC272" s="12"/>
      <c r="AD272" s="12"/>
      <c r="AE272" s="12">
        <f>AB272*0.0775</f>
        <v>17.309458928571427</v>
      </c>
      <c r="AF272" s="12"/>
      <c r="AG272" s="12">
        <f t="shared" si="159"/>
        <v>16.751089285714283</v>
      </c>
      <c r="AH272" s="12"/>
      <c r="AI272" s="12">
        <f t="shared" ref="AI272:AI274" si="183">AE272+AF272+AG272+AH272</f>
        <v>34.06054821428571</v>
      </c>
      <c r="AJ272" s="12">
        <f t="shared" si="160"/>
        <v>2.2334785714285714</v>
      </c>
      <c r="AK272" s="37"/>
      <c r="AL272" s="37"/>
      <c r="AM272" s="12"/>
      <c r="AN272" s="12"/>
      <c r="AO272" s="12"/>
      <c r="AP272" s="37"/>
      <c r="AQ272" s="37"/>
    </row>
    <row r="273" spans="1:43" ht="24.75">
      <c r="A273" s="21">
        <f>A272+1</f>
        <v>216</v>
      </c>
      <c r="B273" s="27" t="s">
        <v>491</v>
      </c>
      <c r="C273" s="56" t="s">
        <v>490</v>
      </c>
      <c r="D273" s="83" t="s">
        <v>452</v>
      </c>
      <c r="E273" s="84" t="s">
        <v>79</v>
      </c>
      <c r="F273" s="85" t="s">
        <v>351</v>
      </c>
      <c r="G273" s="26">
        <f>614.86+30+50</f>
        <v>694.86</v>
      </c>
      <c r="H273" s="32">
        <f t="shared" si="156"/>
        <v>8338.32</v>
      </c>
      <c r="I273" s="32">
        <v>60</v>
      </c>
      <c r="J273" s="36"/>
      <c r="K273" s="32">
        <f t="shared" si="157"/>
        <v>694.86</v>
      </c>
      <c r="L273" s="32">
        <v>300</v>
      </c>
      <c r="M273" s="37"/>
      <c r="N273" s="24">
        <v>125</v>
      </c>
      <c r="O273" s="24"/>
      <c r="P273" s="12">
        <f t="shared" si="178"/>
        <v>700.07145000000003</v>
      </c>
      <c r="Q273" s="9">
        <f>P273/13</f>
        <v>53.851649999999999</v>
      </c>
      <c r="R273" s="12"/>
      <c r="S273" s="12"/>
      <c r="T273" s="12"/>
      <c r="U273" s="12">
        <f t="shared" si="179"/>
        <v>677.48850000000004</v>
      </c>
      <c r="V273" s="12">
        <f t="shared" si="158"/>
        <v>52.114500000000007</v>
      </c>
      <c r="W273" s="12"/>
      <c r="X273" s="12"/>
      <c r="Y273" s="12">
        <f>P273+S273+U273+W273</f>
        <v>1377.5599500000001</v>
      </c>
      <c r="Z273" s="12">
        <f t="shared" si="180"/>
        <v>90.331800000000001</v>
      </c>
      <c r="AA273" s="12">
        <f t="shared" si="181"/>
        <v>6.9485999999999999</v>
      </c>
      <c r="AB273" s="12">
        <f t="shared" si="182"/>
        <v>223.34785714285712</v>
      </c>
      <c r="AC273" s="12"/>
      <c r="AD273" s="12"/>
      <c r="AE273" s="12">
        <f>AB273*0.0775</f>
        <v>17.309458928571427</v>
      </c>
      <c r="AF273" s="12"/>
      <c r="AG273" s="12">
        <f t="shared" si="159"/>
        <v>16.751089285714283</v>
      </c>
      <c r="AH273" s="12"/>
      <c r="AI273" s="12">
        <f t="shared" si="183"/>
        <v>34.06054821428571</v>
      </c>
      <c r="AJ273" s="12">
        <f t="shared" si="160"/>
        <v>2.2334785714285714</v>
      </c>
      <c r="AK273" s="37"/>
      <c r="AL273" s="37"/>
      <c r="AM273" s="12"/>
      <c r="AN273" s="12"/>
      <c r="AO273" s="12"/>
      <c r="AP273" s="37"/>
      <c r="AQ273" s="37"/>
    </row>
    <row r="274" spans="1:43" ht="24.75">
      <c r="A274" s="21">
        <f t="shared" ref="A274:A325" si="184">A273+1</f>
        <v>217</v>
      </c>
      <c r="B274" s="27" t="s">
        <v>492</v>
      </c>
      <c r="C274" s="56" t="s">
        <v>490</v>
      </c>
      <c r="D274" s="83" t="s">
        <v>452</v>
      </c>
      <c r="E274" s="84" t="s">
        <v>79</v>
      </c>
      <c r="F274" s="85" t="s">
        <v>351</v>
      </c>
      <c r="G274" s="26">
        <f>614.86+30+50</f>
        <v>694.86</v>
      </c>
      <c r="H274" s="32">
        <f t="shared" si="156"/>
        <v>8338.32</v>
      </c>
      <c r="I274" s="32">
        <v>60</v>
      </c>
      <c r="J274" s="36"/>
      <c r="K274" s="32">
        <f>G274</f>
        <v>694.86</v>
      </c>
      <c r="L274" s="32">
        <v>300</v>
      </c>
      <c r="M274" s="37"/>
      <c r="N274" s="24">
        <v>125</v>
      </c>
      <c r="O274" s="24"/>
      <c r="P274" s="12">
        <f t="shared" si="178"/>
        <v>700.07145000000003</v>
      </c>
      <c r="Q274" s="9">
        <f>P274/13</f>
        <v>53.851649999999999</v>
      </c>
      <c r="R274" s="12"/>
      <c r="S274" s="12"/>
      <c r="T274" s="12"/>
      <c r="U274" s="12">
        <f t="shared" si="179"/>
        <v>677.48850000000004</v>
      </c>
      <c r="V274" s="12">
        <f t="shared" si="158"/>
        <v>52.114500000000007</v>
      </c>
      <c r="W274" s="12"/>
      <c r="X274" s="12"/>
      <c r="Y274" s="12">
        <f t="shared" ref="Y274:Y277" si="185">P274+S274+U274+W274</f>
        <v>1377.5599500000001</v>
      </c>
      <c r="Z274" s="12">
        <f t="shared" si="180"/>
        <v>90.331800000000001</v>
      </c>
      <c r="AA274" s="12">
        <f t="shared" si="181"/>
        <v>6.9485999999999999</v>
      </c>
      <c r="AB274" s="12">
        <f t="shared" si="182"/>
        <v>223.34785714285712</v>
      </c>
      <c r="AC274" s="12"/>
      <c r="AD274" s="12"/>
      <c r="AE274" s="12">
        <f t="shared" ref="AE274:AE322" si="186">AB274*0.0775</f>
        <v>17.309458928571427</v>
      </c>
      <c r="AF274" s="12"/>
      <c r="AG274" s="12">
        <f>AB274*0.075</f>
        <v>16.751089285714283</v>
      </c>
      <c r="AH274" s="12"/>
      <c r="AI274" s="12">
        <f t="shared" si="183"/>
        <v>34.06054821428571</v>
      </c>
      <c r="AJ274" s="12">
        <f>AB274*0.01</f>
        <v>2.2334785714285714</v>
      </c>
      <c r="AK274" s="37"/>
      <c r="AL274" s="37"/>
      <c r="AM274" s="12"/>
      <c r="AN274" s="12"/>
      <c r="AO274" s="12"/>
      <c r="AP274" s="37"/>
      <c r="AQ274" s="37"/>
    </row>
    <row r="275" spans="1:43" ht="24.75">
      <c r="A275" s="21">
        <f t="shared" si="184"/>
        <v>218</v>
      </c>
      <c r="B275" s="27" t="s">
        <v>493</v>
      </c>
      <c r="C275" s="56" t="s">
        <v>494</v>
      </c>
      <c r="D275" s="83" t="s">
        <v>452</v>
      </c>
      <c r="E275" s="84" t="s">
        <v>79</v>
      </c>
      <c r="F275" s="85" t="s">
        <v>351</v>
      </c>
      <c r="G275" s="26">
        <f>547+30+50</f>
        <v>627</v>
      </c>
      <c r="H275" s="32">
        <f t="shared" si="156"/>
        <v>7524</v>
      </c>
      <c r="I275" s="32">
        <v>60</v>
      </c>
      <c r="J275" s="36"/>
      <c r="K275" s="32">
        <f t="shared" si="157"/>
        <v>627</v>
      </c>
      <c r="L275" s="32">
        <v>300</v>
      </c>
      <c r="M275" s="37"/>
      <c r="N275" s="24">
        <v>125</v>
      </c>
      <c r="O275" s="24"/>
      <c r="P275" s="12">
        <f t="shared" si="178"/>
        <v>631.70249999999999</v>
      </c>
      <c r="Q275" s="40"/>
      <c r="R275" s="12">
        <f>P275/13</f>
        <v>48.592500000000001</v>
      </c>
      <c r="S275" s="12"/>
      <c r="T275" s="12"/>
      <c r="U275" s="12">
        <f t="shared" si="179"/>
        <v>611.32499999999993</v>
      </c>
      <c r="V275" s="12">
        <f t="shared" si="158"/>
        <v>47.024999999999991</v>
      </c>
      <c r="W275" s="12"/>
      <c r="X275" s="12"/>
      <c r="Y275" s="12">
        <f t="shared" si="185"/>
        <v>1243.0274999999999</v>
      </c>
      <c r="Z275" s="12">
        <f t="shared" si="180"/>
        <v>81.510000000000005</v>
      </c>
      <c r="AA275" s="12">
        <f t="shared" si="181"/>
        <v>6.2700000000000005</v>
      </c>
      <c r="AB275" s="12">
        <f t="shared" si="182"/>
        <v>201.53571428571425</v>
      </c>
      <c r="AC275" s="12"/>
      <c r="AD275" s="12"/>
      <c r="AE275" s="12">
        <f t="shared" si="186"/>
        <v>15.619017857142854</v>
      </c>
      <c r="AF275" s="12"/>
      <c r="AG275" s="12">
        <f t="shared" si="159"/>
        <v>15.115178571428569</v>
      </c>
      <c r="AH275" s="12"/>
      <c r="AI275" s="12">
        <f t="shared" ref="AI275:AI284" si="187">AE275+AF275+AG275+AH275+0.01</f>
        <v>30.744196428571424</v>
      </c>
      <c r="AJ275" s="12">
        <f t="shared" si="160"/>
        <v>2.0153571428571424</v>
      </c>
      <c r="AK275" s="37"/>
      <c r="AL275" s="37"/>
      <c r="AM275" s="12"/>
      <c r="AN275" s="12"/>
      <c r="AO275" s="12"/>
      <c r="AP275" s="37"/>
      <c r="AQ275" s="37"/>
    </row>
    <row r="276" spans="1:43" ht="24.75">
      <c r="A276" s="21">
        <f t="shared" si="184"/>
        <v>219</v>
      </c>
      <c r="B276" s="27" t="s">
        <v>495</v>
      </c>
      <c r="C276" s="56" t="s">
        <v>494</v>
      </c>
      <c r="D276" s="83" t="s">
        <v>452</v>
      </c>
      <c r="E276" s="84" t="s">
        <v>79</v>
      </c>
      <c r="F276" s="85" t="s">
        <v>351</v>
      </c>
      <c r="G276" s="26">
        <f>547+30+50</f>
        <v>627</v>
      </c>
      <c r="H276" s="32">
        <f t="shared" si="156"/>
        <v>7524</v>
      </c>
      <c r="I276" s="32">
        <v>60</v>
      </c>
      <c r="J276" s="36"/>
      <c r="K276" s="32">
        <f t="shared" si="157"/>
        <v>627</v>
      </c>
      <c r="L276" s="32">
        <v>300</v>
      </c>
      <c r="M276" s="37"/>
      <c r="N276" s="24">
        <v>125</v>
      </c>
      <c r="O276" s="24"/>
      <c r="P276" s="12">
        <f t="shared" si="178"/>
        <v>631.70249999999999</v>
      </c>
      <c r="Q276" s="9">
        <f>P276/13</f>
        <v>48.592500000000001</v>
      </c>
      <c r="R276" s="12"/>
      <c r="S276" s="12"/>
      <c r="T276" s="12"/>
      <c r="U276" s="12">
        <f t="shared" si="179"/>
        <v>611.32499999999993</v>
      </c>
      <c r="V276" s="12">
        <f t="shared" si="158"/>
        <v>47.024999999999991</v>
      </c>
      <c r="W276" s="12"/>
      <c r="X276" s="12"/>
      <c r="Y276" s="12">
        <f t="shared" si="185"/>
        <v>1243.0274999999999</v>
      </c>
      <c r="Z276" s="12">
        <f t="shared" si="180"/>
        <v>81.510000000000005</v>
      </c>
      <c r="AA276" s="12">
        <f t="shared" si="181"/>
        <v>6.2700000000000005</v>
      </c>
      <c r="AB276" s="12">
        <f t="shared" si="182"/>
        <v>201.53571428571425</v>
      </c>
      <c r="AC276" s="12"/>
      <c r="AD276" s="12"/>
      <c r="AE276" s="12">
        <f t="shared" si="186"/>
        <v>15.619017857142854</v>
      </c>
      <c r="AF276" s="12"/>
      <c r="AG276" s="12">
        <f t="shared" si="159"/>
        <v>15.115178571428569</v>
      </c>
      <c r="AH276" s="12"/>
      <c r="AI276" s="12">
        <f t="shared" si="187"/>
        <v>30.744196428571424</v>
      </c>
      <c r="AJ276" s="12">
        <f t="shared" si="160"/>
        <v>2.0153571428571424</v>
      </c>
      <c r="AK276" s="37"/>
      <c r="AL276" s="37"/>
      <c r="AM276" s="12"/>
      <c r="AN276" s="12"/>
      <c r="AO276" s="12"/>
      <c r="AP276" s="37"/>
      <c r="AQ276" s="37"/>
    </row>
    <row r="277" spans="1:43" ht="24.75">
      <c r="A277" s="21">
        <f t="shared" si="184"/>
        <v>220</v>
      </c>
      <c r="B277" s="27" t="s">
        <v>496</v>
      </c>
      <c r="C277" s="56" t="s">
        <v>494</v>
      </c>
      <c r="D277" s="83" t="s">
        <v>452</v>
      </c>
      <c r="E277" s="84" t="s">
        <v>79</v>
      </c>
      <c r="F277" s="85" t="s">
        <v>351</v>
      </c>
      <c r="G277" s="26">
        <f>547+30+50</f>
        <v>627</v>
      </c>
      <c r="H277" s="32">
        <f t="shared" si="156"/>
        <v>7524</v>
      </c>
      <c r="I277" s="32">
        <v>60</v>
      </c>
      <c r="J277" s="36"/>
      <c r="K277" s="32">
        <f t="shared" si="157"/>
        <v>627</v>
      </c>
      <c r="L277" s="32">
        <v>300</v>
      </c>
      <c r="M277" s="37"/>
      <c r="N277" s="24">
        <v>125</v>
      </c>
      <c r="O277" s="24"/>
      <c r="P277" s="12">
        <f t="shared" si="178"/>
        <v>631.70249999999999</v>
      </c>
      <c r="Q277" s="9">
        <f>P277/13</f>
        <v>48.592500000000001</v>
      </c>
      <c r="R277" s="12"/>
      <c r="S277" s="12"/>
      <c r="T277" s="12"/>
      <c r="U277" s="12">
        <f t="shared" si="179"/>
        <v>611.32499999999993</v>
      </c>
      <c r="V277" s="12">
        <f t="shared" si="158"/>
        <v>47.024999999999991</v>
      </c>
      <c r="W277" s="12"/>
      <c r="X277" s="12"/>
      <c r="Y277" s="12">
        <f t="shared" si="185"/>
        <v>1243.0274999999999</v>
      </c>
      <c r="Z277" s="12">
        <f t="shared" si="180"/>
        <v>81.510000000000005</v>
      </c>
      <c r="AA277" s="12">
        <f t="shared" si="181"/>
        <v>6.2700000000000005</v>
      </c>
      <c r="AB277" s="12">
        <f t="shared" si="182"/>
        <v>201.53571428571425</v>
      </c>
      <c r="AC277" s="12"/>
      <c r="AD277" s="12"/>
      <c r="AE277" s="12">
        <f t="shared" si="186"/>
        <v>15.619017857142854</v>
      </c>
      <c r="AF277" s="12"/>
      <c r="AG277" s="12">
        <f t="shared" si="159"/>
        <v>15.115178571428569</v>
      </c>
      <c r="AH277" s="12"/>
      <c r="AI277" s="12">
        <f t="shared" si="187"/>
        <v>30.744196428571424</v>
      </c>
      <c r="AJ277" s="12">
        <f t="shared" si="160"/>
        <v>2.0153571428571424</v>
      </c>
      <c r="AK277" s="37"/>
      <c r="AL277" s="37"/>
      <c r="AM277" s="12"/>
      <c r="AN277" s="12"/>
      <c r="AO277" s="12"/>
      <c r="AP277" s="37"/>
      <c r="AQ277" s="37"/>
    </row>
    <row r="278" spans="1:43" ht="24.75">
      <c r="A278" s="21">
        <f>A277+1</f>
        <v>221</v>
      </c>
      <c r="B278" s="109" t="s">
        <v>497</v>
      </c>
      <c r="C278" s="56" t="s">
        <v>494</v>
      </c>
      <c r="D278" s="83" t="s">
        <v>452</v>
      </c>
      <c r="E278" s="84" t="s">
        <v>79</v>
      </c>
      <c r="F278" s="85" t="s">
        <v>351</v>
      </c>
      <c r="G278" s="26">
        <f>547+30+50</f>
        <v>627</v>
      </c>
      <c r="H278" s="32">
        <f t="shared" si="156"/>
        <v>7524</v>
      </c>
      <c r="I278" s="32">
        <v>60</v>
      </c>
      <c r="J278" s="36"/>
      <c r="K278" s="32">
        <f t="shared" si="157"/>
        <v>627</v>
      </c>
      <c r="L278" s="32">
        <v>300</v>
      </c>
      <c r="M278" s="37"/>
      <c r="N278" s="24">
        <v>125</v>
      </c>
      <c r="O278" s="24"/>
      <c r="P278" s="12"/>
      <c r="Q278" s="9"/>
      <c r="R278" s="12"/>
      <c r="S278" s="12">
        <f>G278*0.075*13</f>
        <v>611.32499999999993</v>
      </c>
      <c r="T278" s="12">
        <f>S278/12</f>
        <v>50.943749999999994</v>
      </c>
      <c r="U278" s="12">
        <f t="shared" si="179"/>
        <v>611.32499999999993</v>
      </c>
      <c r="V278" s="12">
        <f t="shared" si="158"/>
        <v>47.024999999999991</v>
      </c>
      <c r="W278" s="12"/>
      <c r="X278" s="12"/>
      <c r="Y278" s="12">
        <f t="shared" ref="Y278" si="188">P278+S278+U278+W278+0.01</f>
        <v>1222.6599999999999</v>
      </c>
      <c r="Z278" s="12">
        <f t="shared" si="180"/>
        <v>81.510000000000005</v>
      </c>
      <c r="AA278" s="12">
        <f t="shared" si="181"/>
        <v>6.2700000000000005</v>
      </c>
      <c r="AB278" s="12">
        <f t="shared" si="182"/>
        <v>201.53571428571425</v>
      </c>
      <c r="AC278" s="12">
        <v>136.28</v>
      </c>
      <c r="AD278" s="12">
        <f>AB278-AC278</f>
        <v>65.255714285714248</v>
      </c>
      <c r="AE278" s="12"/>
      <c r="AF278" s="12">
        <f>AB278*0.075</f>
        <v>15.115178571428569</v>
      </c>
      <c r="AG278" s="12">
        <f t="shared" si="159"/>
        <v>15.115178571428569</v>
      </c>
      <c r="AH278" s="12"/>
      <c r="AI278" s="12">
        <f t="shared" si="187"/>
        <v>30.240357142857139</v>
      </c>
      <c r="AJ278" s="12">
        <f t="shared" si="160"/>
        <v>2.0153571428571424</v>
      </c>
      <c r="AK278" s="37"/>
      <c r="AL278" s="37"/>
      <c r="AM278" s="12"/>
      <c r="AN278" s="12"/>
      <c r="AO278" s="12"/>
      <c r="AP278" s="37"/>
      <c r="AQ278" s="37"/>
    </row>
    <row r="279" spans="1:43" ht="24.75">
      <c r="A279" s="21">
        <f t="shared" si="184"/>
        <v>222</v>
      </c>
      <c r="B279" s="27" t="s">
        <v>498</v>
      </c>
      <c r="C279" s="56" t="s">
        <v>499</v>
      </c>
      <c r="D279" s="83" t="s">
        <v>452</v>
      </c>
      <c r="E279" s="84" t="s">
        <v>79</v>
      </c>
      <c r="F279" s="85" t="s">
        <v>351</v>
      </c>
      <c r="G279" s="26">
        <f t="shared" ref="G279:G359" si="189">467+30+50</f>
        <v>547</v>
      </c>
      <c r="H279" s="32">
        <f t="shared" si="156"/>
        <v>6564</v>
      </c>
      <c r="I279" s="32">
        <v>60</v>
      </c>
      <c r="J279" s="36"/>
      <c r="K279" s="32">
        <f t="shared" si="157"/>
        <v>547</v>
      </c>
      <c r="L279" s="32">
        <v>300</v>
      </c>
      <c r="M279" s="37"/>
      <c r="N279" s="24">
        <v>125</v>
      </c>
      <c r="O279" s="24"/>
      <c r="P279" s="12">
        <f t="shared" si="178"/>
        <v>551.10249999999996</v>
      </c>
      <c r="Q279" s="9">
        <f>P279/13</f>
        <v>42.392499999999998</v>
      </c>
      <c r="R279" s="12"/>
      <c r="S279" s="12"/>
      <c r="T279" s="12"/>
      <c r="U279" s="12">
        <f t="shared" si="179"/>
        <v>533.32499999999993</v>
      </c>
      <c r="V279" s="12">
        <f t="shared" si="158"/>
        <v>41.024999999999991</v>
      </c>
      <c r="W279" s="12"/>
      <c r="X279" s="12"/>
      <c r="Y279" s="12">
        <f t="shared" ref="Y279:Y284" si="190">P279+S279+U279+W279</f>
        <v>1084.4274999999998</v>
      </c>
      <c r="Z279" s="12">
        <f t="shared" si="180"/>
        <v>71.11</v>
      </c>
      <c r="AA279" s="12">
        <f t="shared" si="181"/>
        <v>5.47</v>
      </c>
      <c r="AB279" s="12">
        <f t="shared" si="182"/>
        <v>175.82142857142858</v>
      </c>
      <c r="AC279" s="12"/>
      <c r="AD279" s="12"/>
      <c r="AE279" s="12">
        <f t="shared" si="186"/>
        <v>13.626160714285716</v>
      </c>
      <c r="AF279" s="12"/>
      <c r="AG279" s="12">
        <f t="shared" si="159"/>
        <v>13.186607142857143</v>
      </c>
      <c r="AH279" s="12"/>
      <c r="AI279" s="12">
        <f t="shared" si="187"/>
        <v>26.82276785714286</v>
      </c>
      <c r="AJ279" s="12">
        <f t="shared" si="160"/>
        <v>1.758214285714286</v>
      </c>
      <c r="AK279" s="37"/>
      <c r="AL279" s="37"/>
      <c r="AM279" s="12"/>
      <c r="AN279" s="12"/>
      <c r="AO279" s="12"/>
      <c r="AP279" s="37"/>
      <c r="AQ279" s="37"/>
    </row>
    <row r="280" spans="1:43" ht="24.75">
      <c r="A280" s="21">
        <f t="shared" si="184"/>
        <v>223</v>
      </c>
      <c r="B280" s="27" t="s">
        <v>500</v>
      </c>
      <c r="C280" s="56" t="s">
        <v>501</v>
      </c>
      <c r="D280" s="83" t="s">
        <v>452</v>
      </c>
      <c r="E280" s="84" t="s">
        <v>79</v>
      </c>
      <c r="F280" s="85" t="s">
        <v>351</v>
      </c>
      <c r="G280" s="26">
        <f t="shared" si="189"/>
        <v>547</v>
      </c>
      <c r="H280" s="32">
        <f t="shared" si="156"/>
        <v>6564</v>
      </c>
      <c r="I280" s="32">
        <v>60</v>
      </c>
      <c r="J280" s="36"/>
      <c r="K280" s="32">
        <f t="shared" si="157"/>
        <v>547</v>
      </c>
      <c r="L280" s="32">
        <v>300</v>
      </c>
      <c r="M280" s="37"/>
      <c r="N280" s="24">
        <v>125</v>
      </c>
      <c r="O280" s="24"/>
      <c r="P280" s="12">
        <f t="shared" si="178"/>
        <v>551.10249999999996</v>
      </c>
      <c r="Q280" s="40"/>
      <c r="R280" s="12">
        <f>P280/13</f>
        <v>42.392499999999998</v>
      </c>
      <c r="S280" s="12"/>
      <c r="T280" s="12"/>
      <c r="U280" s="12">
        <f t="shared" si="179"/>
        <v>533.32499999999993</v>
      </c>
      <c r="V280" s="12">
        <f t="shared" si="158"/>
        <v>41.024999999999991</v>
      </c>
      <c r="W280" s="12"/>
      <c r="X280" s="12"/>
      <c r="Y280" s="12">
        <f t="shared" si="190"/>
        <v>1084.4274999999998</v>
      </c>
      <c r="Z280" s="12">
        <f t="shared" si="180"/>
        <v>71.11</v>
      </c>
      <c r="AA280" s="12">
        <f t="shared" si="181"/>
        <v>5.47</v>
      </c>
      <c r="AB280" s="12">
        <f t="shared" si="182"/>
        <v>175.82142857142858</v>
      </c>
      <c r="AC280" s="12">
        <v>113.43</v>
      </c>
      <c r="AD280" s="12">
        <f>AB280-AC280</f>
        <v>62.391428571428577</v>
      </c>
      <c r="AE280" s="12">
        <f t="shared" si="186"/>
        <v>13.626160714285716</v>
      </c>
      <c r="AF280" s="12"/>
      <c r="AG280" s="12">
        <f t="shared" si="159"/>
        <v>13.186607142857143</v>
      </c>
      <c r="AH280" s="12"/>
      <c r="AI280" s="12">
        <f t="shared" si="187"/>
        <v>26.82276785714286</v>
      </c>
      <c r="AJ280" s="12">
        <f t="shared" si="160"/>
        <v>1.758214285714286</v>
      </c>
      <c r="AK280" s="37"/>
      <c r="AL280" s="37"/>
      <c r="AM280" s="12"/>
      <c r="AN280" s="12"/>
      <c r="AO280" s="12"/>
      <c r="AP280" s="37"/>
      <c r="AQ280" s="37"/>
    </row>
    <row r="281" spans="1:43" ht="24.75">
      <c r="A281" s="21">
        <f t="shared" si="184"/>
        <v>224</v>
      </c>
      <c r="B281" s="27" t="s">
        <v>502</v>
      </c>
      <c r="C281" s="56" t="s">
        <v>501</v>
      </c>
      <c r="D281" s="83" t="s">
        <v>452</v>
      </c>
      <c r="E281" s="84" t="s">
        <v>79</v>
      </c>
      <c r="F281" s="85" t="s">
        <v>351</v>
      </c>
      <c r="G281" s="26">
        <f t="shared" si="189"/>
        <v>547</v>
      </c>
      <c r="H281" s="32">
        <f t="shared" si="156"/>
        <v>6564</v>
      </c>
      <c r="I281" s="32">
        <v>60</v>
      </c>
      <c r="J281" s="36"/>
      <c r="K281" s="32">
        <f>G281</f>
        <v>547</v>
      </c>
      <c r="L281" s="32">
        <v>300</v>
      </c>
      <c r="M281" s="37"/>
      <c r="N281" s="24">
        <v>125</v>
      </c>
      <c r="O281" s="24"/>
      <c r="P281" s="12">
        <f t="shared" si="178"/>
        <v>551.10249999999996</v>
      </c>
      <c r="Q281" s="40"/>
      <c r="R281" s="12">
        <f>P281/13</f>
        <v>42.392499999999998</v>
      </c>
      <c r="S281" s="12"/>
      <c r="T281" s="12"/>
      <c r="U281" s="12">
        <f t="shared" si="179"/>
        <v>533.32499999999993</v>
      </c>
      <c r="V281" s="12">
        <f t="shared" si="158"/>
        <v>41.024999999999991</v>
      </c>
      <c r="W281" s="12"/>
      <c r="X281" s="12"/>
      <c r="Y281" s="12">
        <f t="shared" si="190"/>
        <v>1084.4274999999998</v>
      </c>
      <c r="Z281" s="12">
        <f t="shared" si="180"/>
        <v>71.11</v>
      </c>
      <c r="AA281" s="12">
        <f t="shared" si="181"/>
        <v>5.47</v>
      </c>
      <c r="AB281" s="12">
        <f t="shared" si="182"/>
        <v>175.82142857142858</v>
      </c>
      <c r="AC281" s="12">
        <v>113.43</v>
      </c>
      <c r="AD281" s="12">
        <f>AB281-AC281</f>
        <v>62.391428571428577</v>
      </c>
      <c r="AE281" s="12">
        <f t="shared" si="186"/>
        <v>13.626160714285716</v>
      </c>
      <c r="AF281" s="12"/>
      <c r="AG281" s="12">
        <f t="shared" si="159"/>
        <v>13.186607142857143</v>
      </c>
      <c r="AH281" s="12"/>
      <c r="AI281" s="12">
        <f t="shared" si="187"/>
        <v>26.82276785714286</v>
      </c>
      <c r="AJ281" s="12">
        <f t="shared" si="160"/>
        <v>1.758214285714286</v>
      </c>
      <c r="AK281" s="37"/>
      <c r="AL281" s="37"/>
      <c r="AM281" s="12"/>
      <c r="AN281" s="12"/>
      <c r="AO281" s="12"/>
      <c r="AP281" s="37"/>
      <c r="AQ281" s="37"/>
    </row>
    <row r="282" spans="1:43" ht="24.75">
      <c r="A282" s="21">
        <f t="shared" si="184"/>
        <v>225</v>
      </c>
      <c r="B282" s="27" t="s">
        <v>503</v>
      </c>
      <c r="C282" s="56" t="s">
        <v>501</v>
      </c>
      <c r="D282" s="83" t="s">
        <v>452</v>
      </c>
      <c r="E282" s="84" t="s">
        <v>79</v>
      </c>
      <c r="F282" s="85" t="s">
        <v>351</v>
      </c>
      <c r="G282" s="26">
        <f t="shared" si="189"/>
        <v>547</v>
      </c>
      <c r="H282" s="32">
        <f t="shared" si="156"/>
        <v>6564</v>
      </c>
      <c r="I282" s="32">
        <v>60</v>
      </c>
      <c r="J282" s="36"/>
      <c r="K282" s="32">
        <f>G282</f>
        <v>547</v>
      </c>
      <c r="L282" s="32">
        <v>300</v>
      </c>
      <c r="M282" s="37"/>
      <c r="N282" s="24">
        <v>125</v>
      </c>
      <c r="O282" s="24"/>
      <c r="P282" s="12">
        <f t="shared" si="178"/>
        <v>551.10249999999996</v>
      </c>
      <c r="Q282" s="40"/>
      <c r="R282" s="12">
        <f>P282/13</f>
        <v>42.392499999999998</v>
      </c>
      <c r="S282" s="12"/>
      <c r="T282" s="12"/>
      <c r="U282" s="12">
        <f t="shared" si="179"/>
        <v>533.32499999999993</v>
      </c>
      <c r="V282" s="12">
        <f t="shared" si="158"/>
        <v>41.024999999999991</v>
      </c>
      <c r="W282" s="12"/>
      <c r="X282" s="12"/>
      <c r="Y282" s="12">
        <f t="shared" si="190"/>
        <v>1084.4274999999998</v>
      </c>
      <c r="Z282" s="12">
        <f t="shared" si="180"/>
        <v>71.11</v>
      </c>
      <c r="AA282" s="12">
        <f t="shared" si="181"/>
        <v>5.47</v>
      </c>
      <c r="AB282" s="12">
        <f t="shared" si="182"/>
        <v>175.82142857142858</v>
      </c>
      <c r="AC282" s="12">
        <v>113.43</v>
      </c>
      <c r="AD282" s="12">
        <f>AB282-AC282</f>
        <v>62.391428571428577</v>
      </c>
      <c r="AE282" s="12">
        <f t="shared" si="186"/>
        <v>13.626160714285716</v>
      </c>
      <c r="AF282" s="12"/>
      <c r="AG282" s="12">
        <f t="shared" si="159"/>
        <v>13.186607142857143</v>
      </c>
      <c r="AH282" s="12"/>
      <c r="AI282" s="12">
        <f t="shared" si="187"/>
        <v>26.82276785714286</v>
      </c>
      <c r="AJ282" s="12">
        <f t="shared" si="160"/>
        <v>1.758214285714286</v>
      </c>
      <c r="AK282" s="37"/>
      <c r="AL282" s="37"/>
      <c r="AM282" s="12"/>
      <c r="AN282" s="12"/>
      <c r="AO282" s="12"/>
      <c r="AP282" s="37"/>
      <c r="AQ282" s="37"/>
    </row>
    <row r="283" spans="1:43" ht="24.75">
      <c r="A283" s="21">
        <f t="shared" si="184"/>
        <v>226</v>
      </c>
      <c r="B283" s="27" t="s">
        <v>504</v>
      </c>
      <c r="C283" s="56" t="s">
        <v>501</v>
      </c>
      <c r="D283" s="83" t="s">
        <v>452</v>
      </c>
      <c r="E283" s="84" t="s">
        <v>79</v>
      </c>
      <c r="F283" s="85" t="s">
        <v>351</v>
      </c>
      <c r="G283" s="26">
        <f t="shared" si="189"/>
        <v>547</v>
      </c>
      <c r="H283" s="32">
        <f>G283*12</f>
        <v>6564</v>
      </c>
      <c r="I283" s="32">
        <v>60</v>
      </c>
      <c r="J283" s="36"/>
      <c r="K283" s="32">
        <f>G283</f>
        <v>547</v>
      </c>
      <c r="L283" s="32">
        <v>300</v>
      </c>
      <c r="M283" s="37"/>
      <c r="N283" s="24">
        <v>125</v>
      </c>
      <c r="O283" s="24"/>
      <c r="P283" s="12">
        <f>G283*0.0775*13</f>
        <v>551.10249999999996</v>
      </c>
      <c r="Q283" s="40"/>
      <c r="R283" s="12">
        <f>P283/13</f>
        <v>42.392499999999998</v>
      </c>
      <c r="S283" s="12"/>
      <c r="T283" s="12"/>
      <c r="U283" s="12">
        <f>G283*0.075*13</f>
        <v>533.32499999999993</v>
      </c>
      <c r="V283" s="12">
        <f>U283/13</f>
        <v>41.024999999999991</v>
      </c>
      <c r="W283" s="12"/>
      <c r="X283" s="12"/>
      <c r="Y283" s="12">
        <f t="shared" si="190"/>
        <v>1084.4274999999998</v>
      </c>
      <c r="Z283" s="12">
        <f>G283*0.01*13</f>
        <v>71.11</v>
      </c>
      <c r="AA283" s="12">
        <f>Z283/13</f>
        <v>5.47</v>
      </c>
      <c r="AB283" s="12">
        <f>G283/30/7*1.5*45</f>
        <v>175.82142857142858</v>
      </c>
      <c r="AC283" s="12"/>
      <c r="AD283" s="12"/>
      <c r="AE283" s="12">
        <f>AB283*0.0775</f>
        <v>13.626160714285716</v>
      </c>
      <c r="AF283" s="12"/>
      <c r="AG283" s="12">
        <f>AB283*0.075</f>
        <v>13.186607142857143</v>
      </c>
      <c r="AH283" s="12"/>
      <c r="AI283" s="12">
        <f t="shared" si="187"/>
        <v>26.82276785714286</v>
      </c>
      <c r="AJ283" s="12">
        <f>AB283*0.01</f>
        <v>1.758214285714286</v>
      </c>
      <c r="AK283" s="37"/>
      <c r="AL283" s="37"/>
      <c r="AM283" s="12"/>
      <c r="AN283" s="12"/>
      <c r="AO283" s="12"/>
      <c r="AP283" s="37"/>
      <c r="AQ283" s="37"/>
    </row>
    <row r="284" spans="1:43" ht="24.75">
      <c r="A284" s="21">
        <f>A283+1</f>
        <v>227</v>
      </c>
      <c r="B284" s="27" t="s">
        <v>505</v>
      </c>
      <c r="C284" s="56" t="s">
        <v>501</v>
      </c>
      <c r="D284" s="83" t="s">
        <v>452</v>
      </c>
      <c r="E284" s="84" t="s">
        <v>79</v>
      </c>
      <c r="F284" s="85" t="s">
        <v>351</v>
      </c>
      <c r="G284" s="26">
        <f t="shared" si="189"/>
        <v>547</v>
      </c>
      <c r="H284" s="32">
        <f>G284*12</f>
        <v>6564</v>
      </c>
      <c r="I284" s="32">
        <v>60</v>
      </c>
      <c r="J284" s="36"/>
      <c r="K284" s="32">
        <f>G284</f>
        <v>547</v>
      </c>
      <c r="L284" s="32">
        <v>300</v>
      </c>
      <c r="M284" s="37"/>
      <c r="N284" s="24">
        <v>125</v>
      </c>
      <c r="O284" s="24"/>
      <c r="P284" s="12">
        <f>G284*0.0775*13</f>
        <v>551.10249999999996</v>
      </c>
      <c r="Q284" s="9">
        <f>P284/13</f>
        <v>42.392499999999998</v>
      </c>
      <c r="R284" s="12"/>
      <c r="S284" s="12"/>
      <c r="T284" s="12"/>
      <c r="U284" s="12">
        <f>G284*0.075*13</f>
        <v>533.32499999999993</v>
      </c>
      <c r="V284" s="12">
        <f>U284/13</f>
        <v>41.024999999999991</v>
      </c>
      <c r="W284" s="12"/>
      <c r="X284" s="12"/>
      <c r="Y284" s="12">
        <f t="shared" si="190"/>
        <v>1084.4274999999998</v>
      </c>
      <c r="Z284" s="12">
        <f>G284*0.01*13</f>
        <v>71.11</v>
      </c>
      <c r="AA284" s="12">
        <f>Z284/13</f>
        <v>5.47</v>
      </c>
      <c r="AB284" s="12">
        <f>G284/30/7*1.5*45</f>
        <v>175.82142857142858</v>
      </c>
      <c r="AC284" s="12"/>
      <c r="AD284" s="12"/>
      <c r="AE284" s="12">
        <f>AB284*0.0775</f>
        <v>13.626160714285716</v>
      </c>
      <c r="AF284" s="12"/>
      <c r="AG284" s="12">
        <f>AB284*0.075</f>
        <v>13.186607142857143</v>
      </c>
      <c r="AH284" s="12"/>
      <c r="AI284" s="12">
        <f t="shared" si="187"/>
        <v>26.82276785714286</v>
      </c>
      <c r="AJ284" s="12">
        <f>AB284*0.01</f>
        <v>1.758214285714286</v>
      </c>
      <c r="AK284" s="38"/>
      <c r="AL284" s="38"/>
      <c r="AM284" s="12"/>
      <c r="AN284" s="12"/>
      <c r="AO284" s="12"/>
      <c r="AP284" s="37"/>
      <c r="AQ284" s="37"/>
    </row>
    <row r="285" spans="1:43" ht="24.75">
      <c r="A285" s="21">
        <f>A284+1</f>
        <v>228</v>
      </c>
      <c r="B285" s="27" t="s">
        <v>506</v>
      </c>
      <c r="C285" s="56" t="s">
        <v>507</v>
      </c>
      <c r="D285" s="83" t="s">
        <v>452</v>
      </c>
      <c r="E285" s="84" t="s">
        <v>79</v>
      </c>
      <c r="F285" s="85" t="s">
        <v>351</v>
      </c>
      <c r="G285" s="26">
        <f>417+30+50</f>
        <v>497</v>
      </c>
      <c r="H285" s="32">
        <f t="shared" si="156"/>
        <v>5964</v>
      </c>
      <c r="I285" s="32">
        <v>60</v>
      </c>
      <c r="J285" s="36"/>
      <c r="K285" s="32">
        <f t="shared" ref="K285:K322" si="191">G285</f>
        <v>497</v>
      </c>
      <c r="L285" s="32">
        <v>300</v>
      </c>
      <c r="M285" s="37"/>
      <c r="N285" s="24">
        <v>125</v>
      </c>
      <c r="O285" s="24"/>
      <c r="P285" s="12">
        <f t="shared" si="178"/>
        <v>500.72749999999996</v>
      </c>
      <c r="Q285" s="9">
        <f>P285/13</f>
        <v>38.517499999999998</v>
      </c>
      <c r="R285" s="12"/>
      <c r="S285" s="12"/>
      <c r="T285" s="12"/>
      <c r="U285" s="12">
        <f t="shared" si="179"/>
        <v>484.57499999999999</v>
      </c>
      <c r="V285" s="12">
        <f t="shared" si="158"/>
        <v>37.274999999999999</v>
      </c>
      <c r="W285" s="12"/>
      <c r="X285" s="12"/>
      <c r="Y285" s="12">
        <f>P285+S285+U285+W285+0.01</f>
        <v>985.3125</v>
      </c>
      <c r="Z285" s="12">
        <f t="shared" si="180"/>
        <v>64.61</v>
      </c>
      <c r="AA285" s="12">
        <f t="shared" si="181"/>
        <v>4.97</v>
      </c>
      <c r="AB285" s="12">
        <f t="shared" si="182"/>
        <v>159.75</v>
      </c>
      <c r="AC285" s="12">
        <v>99.14</v>
      </c>
      <c r="AD285" s="12">
        <f>AB285-AC285</f>
        <v>60.61</v>
      </c>
      <c r="AE285" s="12">
        <f t="shared" si="186"/>
        <v>12.380625</v>
      </c>
      <c r="AF285" s="12"/>
      <c r="AG285" s="12">
        <f t="shared" si="159"/>
        <v>11.981249999999999</v>
      </c>
      <c r="AH285" s="12"/>
      <c r="AI285" s="12">
        <f>AE285+AF285+AG285+AH285</f>
        <v>24.361874999999998</v>
      </c>
      <c r="AJ285" s="12">
        <f t="shared" si="160"/>
        <v>1.5975000000000001</v>
      </c>
      <c r="AK285" s="37"/>
      <c r="AL285" s="37"/>
      <c r="AM285" s="12"/>
      <c r="AN285" s="12"/>
      <c r="AO285" s="12"/>
      <c r="AP285" s="37"/>
      <c r="AQ285" s="37"/>
    </row>
    <row r="286" spans="1:43" ht="24.75">
      <c r="A286" s="21">
        <f>A285+1</f>
        <v>229</v>
      </c>
      <c r="B286" s="27" t="s">
        <v>508</v>
      </c>
      <c r="C286" s="56" t="s">
        <v>507</v>
      </c>
      <c r="D286" s="83" t="s">
        <v>452</v>
      </c>
      <c r="E286" s="84" t="s">
        <v>79</v>
      </c>
      <c r="F286" s="85" t="s">
        <v>351</v>
      </c>
      <c r="G286" s="26">
        <f>417+30+50</f>
        <v>497</v>
      </c>
      <c r="H286" s="32">
        <f t="shared" si="156"/>
        <v>5964</v>
      </c>
      <c r="I286" s="32">
        <v>60</v>
      </c>
      <c r="J286" s="36"/>
      <c r="K286" s="32">
        <f t="shared" si="191"/>
        <v>497</v>
      </c>
      <c r="L286" s="32">
        <v>300</v>
      </c>
      <c r="M286" s="37"/>
      <c r="N286" s="24">
        <v>125</v>
      </c>
      <c r="O286" s="24"/>
      <c r="P286" s="12">
        <f t="shared" si="178"/>
        <v>500.72749999999996</v>
      </c>
      <c r="Q286" s="9">
        <f>P286/13</f>
        <v>38.517499999999998</v>
      </c>
      <c r="R286" s="12"/>
      <c r="S286" s="12"/>
      <c r="T286" s="12"/>
      <c r="U286" s="12">
        <f t="shared" si="179"/>
        <v>484.57499999999999</v>
      </c>
      <c r="V286" s="12">
        <f t="shared" si="158"/>
        <v>37.274999999999999</v>
      </c>
      <c r="W286" s="12"/>
      <c r="X286" s="12"/>
      <c r="Y286" s="12">
        <f t="shared" ref="Y286:Y287" si="192">P286+S286+U286+W286+0.01</f>
        <v>985.3125</v>
      </c>
      <c r="Z286" s="12">
        <f t="shared" si="180"/>
        <v>64.61</v>
      </c>
      <c r="AA286" s="12">
        <f t="shared" si="181"/>
        <v>4.97</v>
      </c>
      <c r="AB286" s="12">
        <f t="shared" si="182"/>
        <v>159.75</v>
      </c>
      <c r="AC286" s="12">
        <v>99.14</v>
      </c>
      <c r="AD286" s="12">
        <f>AB286-AC286</f>
        <v>60.61</v>
      </c>
      <c r="AE286" s="12">
        <f t="shared" si="186"/>
        <v>12.380625</v>
      </c>
      <c r="AF286" s="12"/>
      <c r="AG286" s="12">
        <f t="shared" si="159"/>
        <v>11.981249999999999</v>
      </c>
      <c r="AH286" s="12"/>
      <c r="AI286" s="12">
        <f t="shared" ref="AI286:AI292" si="193">AE286+AF286+AG286+AH286</f>
        <v>24.361874999999998</v>
      </c>
      <c r="AJ286" s="12">
        <f t="shared" si="160"/>
        <v>1.5975000000000001</v>
      </c>
      <c r="AK286" s="37"/>
      <c r="AL286" s="37"/>
      <c r="AM286" s="12"/>
      <c r="AN286" s="12"/>
      <c r="AO286" s="12"/>
      <c r="AP286" s="37"/>
      <c r="AQ286" s="37"/>
    </row>
    <row r="287" spans="1:43" ht="24.75">
      <c r="A287" s="21">
        <f t="shared" si="184"/>
        <v>230</v>
      </c>
      <c r="B287" s="27" t="s">
        <v>509</v>
      </c>
      <c r="C287" s="56" t="s">
        <v>507</v>
      </c>
      <c r="D287" s="83" t="s">
        <v>452</v>
      </c>
      <c r="E287" s="84" t="s">
        <v>79</v>
      </c>
      <c r="F287" s="85" t="s">
        <v>351</v>
      </c>
      <c r="G287" s="26">
        <f>417+30+50</f>
        <v>497</v>
      </c>
      <c r="H287" s="32">
        <f t="shared" si="156"/>
        <v>5964</v>
      </c>
      <c r="I287" s="32">
        <v>60</v>
      </c>
      <c r="J287" s="36"/>
      <c r="K287" s="32">
        <f t="shared" si="191"/>
        <v>497</v>
      </c>
      <c r="L287" s="32">
        <v>300</v>
      </c>
      <c r="M287" s="37"/>
      <c r="N287" s="24">
        <v>125</v>
      </c>
      <c r="O287" s="24"/>
      <c r="P287" s="12">
        <f>G287*0.0775*13</f>
        <v>500.72749999999996</v>
      </c>
      <c r="Q287" s="12"/>
      <c r="R287" s="12">
        <f>P287/13</f>
        <v>38.517499999999998</v>
      </c>
      <c r="S287" s="12"/>
      <c r="T287" s="12"/>
      <c r="U287" s="12">
        <f t="shared" si="179"/>
        <v>484.57499999999999</v>
      </c>
      <c r="V287" s="12">
        <f>U287/13</f>
        <v>37.274999999999999</v>
      </c>
      <c r="W287" s="12"/>
      <c r="X287" s="12"/>
      <c r="Y287" s="12">
        <f t="shared" si="192"/>
        <v>985.3125</v>
      </c>
      <c r="Z287" s="12">
        <f>G287*0.01*13</f>
        <v>64.61</v>
      </c>
      <c r="AA287" s="12">
        <f>Z287/13</f>
        <v>4.97</v>
      </c>
      <c r="AB287" s="12">
        <f t="shared" si="182"/>
        <v>159.75</v>
      </c>
      <c r="AC287" s="12">
        <v>99.14</v>
      </c>
      <c r="AD287" s="12">
        <f>AB287-AC287</f>
        <v>60.61</v>
      </c>
      <c r="AE287" s="12">
        <f>AB287*0.0775</f>
        <v>12.380625</v>
      </c>
      <c r="AF287" s="12"/>
      <c r="AG287" s="12">
        <f t="shared" si="159"/>
        <v>11.981249999999999</v>
      </c>
      <c r="AH287" s="12"/>
      <c r="AI287" s="12">
        <f t="shared" si="193"/>
        <v>24.361874999999998</v>
      </c>
      <c r="AJ287" s="12">
        <f t="shared" si="160"/>
        <v>1.5975000000000001</v>
      </c>
      <c r="AK287" s="38"/>
      <c r="AL287" s="38"/>
      <c r="AM287" s="12"/>
      <c r="AN287" s="12"/>
      <c r="AO287" s="12"/>
      <c r="AP287" s="37"/>
      <c r="AQ287" s="37"/>
    </row>
    <row r="288" spans="1:43" ht="24.75">
      <c r="A288" s="21">
        <f>A287+1</f>
        <v>231</v>
      </c>
      <c r="B288" s="27" t="s">
        <v>510</v>
      </c>
      <c r="C288" s="56" t="s">
        <v>507</v>
      </c>
      <c r="D288" s="83" t="s">
        <v>452</v>
      </c>
      <c r="E288" s="84" t="s">
        <v>79</v>
      </c>
      <c r="F288" s="85" t="s">
        <v>351</v>
      </c>
      <c r="G288" s="26">
        <f>417+50</f>
        <v>467</v>
      </c>
      <c r="H288" s="32">
        <f t="shared" si="156"/>
        <v>5604</v>
      </c>
      <c r="I288" s="32">
        <v>60</v>
      </c>
      <c r="J288" s="36"/>
      <c r="K288" s="32">
        <f t="shared" si="191"/>
        <v>467</v>
      </c>
      <c r="L288" s="32">
        <v>300</v>
      </c>
      <c r="M288" s="37"/>
      <c r="N288" s="24">
        <v>125</v>
      </c>
      <c r="O288" s="24"/>
      <c r="P288" s="12">
        <f>G288*0.0775*13</f>
        <v>470.50250000000005</v>
      </c>
      <c r="Q288" s="40"/>
      <c r="R288" s="12">
        <f>P288/13</f>
        <v>36.192500000000003</v>
      </c>
      <c r="S288" s="12"/>
      <c r="T288" s="12"/>
      <c r="U288" s="12">
        <f t="shared" si="179"/>
        <v>455.32499999999999</v>
      </c>
      <c r="V288" s="12">
        <f>U288/13</f>
        <v>35.024999999999999</v>
      </c>
      <c r="W288" s="12"/>
      <c r="X288" s="12"/>
      <c r="Y288" s="12">
        <f>P288+S288+U288+W288</f>
        <v>925.8275000000001</v>
      </c>
      <c r="Z288" s="12">
        <f t="shared" ref="Z288:Z292" si="194">G288*0.01*13</f>
        <v>60.71</v>
      </c>
      <c r="AA288" s="12">
        <f>Z288/13</f>
        <v>4.67</v>
      </c>
      <c r="AB288" s="12">
        <f t="shared" si="182"/>
        <v>150.10714285714286</v>
      </c>
      <c r="AC288" s="12"/>
      <c r="AD288" s="12"/>
      <c r="AE288" s="12">
        <f>AB288*0.0775</f>
        <v>11.633303571428572</v>
      </c>
      <c r="AF288" s="12"/>
      <c r="AG288" s="12">
        <f t="shared" si="159"/>
        <v>11.258035714285715</v>
      </c>
      <c r="AH288" s="12"/>
      <c r="AI288" s="12">
        <f t="shared" si="193"/>
        <v>22.891339285714288</v>
      </c>
      <c r="AJ288" s="12">
        <f t="shared" si="160"/>
        <v>1.5010714285714286</v>
      </c>
      <c r="AK288" s="37"/>
      <c r="AL288" s="37"/>
      <c r="AM288" s="12"/>
      <c r="AN288" s="12"/>
      <c r="AO288" s="12"/>
      <c r="AP288" s="37"/>
      <c r="AQ288" s="37"/>
    </row>
    <row r="289" spans="1:43" ht="24.75">
      <c r="A289" s="21">
        <f t="shared" si="184"/>
        <v>232</v>
      </c>
      <c r="B289" s="27" t="s">
        <v>511</v>
      </c>
      <c r="C289" s="56" t="s">
        <v>507</v>
      </c>
      <c r="D289" s="83" t="s">
        <v>452</v>
      </c>
      <c r="E289" s="84" t="s">
        <v>79</v>
      </c>
      <c r="F289" s="85" t="s">
        <v>351</v>
      </c>
      <c r="G289" s="26">
        <f>417+50</f>
        <v>467</v>
      </c>
      <c r="H289" s="32">
        <f t="shared" si="156"/>
        <v>5604</v>
      </c>
      <c r="I289" s="32">
        <v>60</v>
      </c>
      <c r="J289" s="36"/>
      <c r="K289" s="32">
        <f t="shared" si="191"/>
        <v>467</v>
      </c>
      <c r="L289" s="32">
        <v>300</v>
      </c>
      <c r="M289" s="37"/>
      <c r="N289" s="24">
        <v>125</v>
      </c>
      <c r="O289" s="24"/>
      <c r="P289" s="12">
        <f>G289*0.0775*13</f>
        <v>470.50250000000005</v>
      </c>
      <c r="Q289" s="12"/>
      <c r="R289" s="12">
        <f>P289/13</f>
        <v>36.192500000000003</v>
      </c>
      <c r="S289" s="12"/>
      <c r="T289" s="12"/>
      <c r="U289" s="12">
        <f t="shared" si="179"/>
        <v>455.32499999999999</v>
      </c>
      <c r="V289" s="12">
        <f>U289/13</f>
        <v>35.024999999999999</v>
      </c>
      <c r="W289" s="12"/>
      <c r="X289" s="12"/>
      <c r="Y289" s="12">
        <f t="shared" ref="Y289:Y292" si="195">P289+S289+U289+W289</f>
        <v>925.8275000000001</v>
      </c>
      <c r="Z289" s="12">
        <f>G289*0.01*13</f>
        <v>60.71</v>
      </c>
      <c r="AA289" s="12">
        <f>Z289/13</f>
        <v>4.67</v>
      </c>
      <c r="AB289" s="12">
        <f t="shared" si="182"/>
        <v>150.10714285714286</v>
      </c>
      <c r="AC289" s="12">
        <v>99.14</v>
      </c>
      <c r="AD289" s="12">
        <f>AB289-AC289</f>
        <v>50.967142857142861</v>
      </c>
      <c r="AE289" s="12">
        <f>AB289*0.0775</f>
        <v>11.633303571428572</v>
      </c>
      <c r="AF289" s="12"/>
      <c r="AG289" s="12">
        <f t="shared" si="159"/>
        <v>11.258035714285715</v>
      </c>
      <c r="AH289" s="12"/>
      <c r="AI289" s="12">
        <f t="shared" si="193"/>
        <v>22.891339285714288</v>
      </c>
      <c r="AJ289" s="12">
        <f t="shared" si="160"/>
        <v>1.5010714285714286</v>
      </c>
      <c r="AK289" s="37"/>
      <c r="AL289" s="61"/>
      <c r="AM289" s="12"/>
      <c r="AN289" s="12"/>
      <c r="AO289" s="12"/>
      <c r="AP289" s="61"/>
      <c r="AQ289" s="61"/>
    </row>
    <row r="290" spans="1:43" ht="24.75">
      <c r="A290" s="21">
        <f>A289+1</f>
        <v>233</v>
      </c>
      <c r="B290" s="27" t="s">
        <v>512</v>
      </c>
      <c r="C290" s="56" t="s">
        <v>507</v>
      </c>
      <c r="D290" s="83" t="s">
        <v>452</v>
      </c>
      <c r="E290" s="84" t="s">
        <v>79</v>
      </c>
      <c r="F290" s="85" t="s">
        <v>351</v>
      </c>
      <c r="G290" s="26">
        <f>417+50</f>
        <v>467</v>
      </c>
      <c r="H290" s="32">
        <f t="shared" si="156"/>
        <v>5604</v>
      </c>
      <c r="I290" s="32">
        <v>60</v>
      </c>
      <c r="J290" s="36"/>
      <c r="K290" s="32">
        <f t="shared" si="191"/>
        <v>467</v>
      </c>
      <c r="L290" s="32">
        <v>300</v>
      </c>
      <c r="M290" s="37"/>
      <c r="N290" s="24">
        <v>125</v>
      </c>
      <c r="O290" s="24"/>
      <c r="P290" s="12">
        <f t="shared" si="178"/>
        <v>470.50250000000005</v>
      </c>
      <c r="Q290" s="9">
        <f>P290/13</f>
        <v>36.192500000000003</v>
      </c>
      <c r="R290" s="12"/>
      <c r="S290" s="12"/>
      <c r="T290" s="12"/>
      <c r="U290" s="12">
        <f t="shared" si="179"/>
        <v>455.32499999999999</v>
      </c>
      <c r="V290" s="12">
        <f t="shared" si="158"/>
        <v>35.024999999999999</v>
      </c>
      <c r="W290" s="12"/>
      <c r="X290" s="12"/>
      <c r="Y290" s="12">
        <f t="shared" si="195"/>
        <v>925.8275000000001</v>
      </c>
      <c r="Z290" s="12">
        <f t="shared" si="194"/>
        <v>60.71</v>
      </c>
      <c r="AA290" s="12">
        <f t="shared" si="181"/>
        <v>4.67</v>
      </c>
      <c r="AB290" s="12">
        <f t="shared" si="182"/>
        <v>150.10714285714286</v>
      </c>
      <c r="AC290" s="12">
        <v>155.68</v>
      </c>
      <c r="AD290" s="12">
        <f t="shared" ref="AD290:AD298" si="196">AB290-AC290</f>
        <v>-5.5728571428571456</v>
      </c>
      <c r="AE290" s="12">
        <f t="shared" si="186"/>
        <v>11.633303571428572</v>
      </c>
      <c r="AF290" s="12"/>
      <c r="AG290" s="12">
        <f t="shared" si="159"/>
        <v>11.258035714285715</v>
      </c>
      <c r="AH290" s="12"/>
      <c r="AI290" s="12">
        <f t="shared" si="193"/>
        <v>22.891339285714288</v>
      </c>
      <c r="AJ290" s="12">
        <f t="shared" si="160"/>
        <v>1.5010714285714286</v>
      </c>
      <c r="AK290" s="37"/>
      <c r="AL290" s="37"/>
      <c r="AM290" s="12"/>
      <c r="AN290" s="12"/>
      <c r="AO290" s="12"/>
      <c r="AP290" s="37"/>
      <c r="AQ290" s="37"/>
    </row>
    <row r="291" spans="1:43" ht="24.75">
      <c r="A291" s="21">
        <f>A290+1</f>
        <v>234</v>
      </c>
      <c r="B291" s="27" t="s">
        <v>513</v>
      </c>
      <c r="C291" s="56" t="s">
        <v>507</v>
      </c>
      <c r="D291" s="83" t="s">
        <v>452</v>
      </c>
      <c r="E291" s="84" t="s">
        <v>79</v>
      </c>
      <c r="F291" s="85" t="s">
        <v>351</v>
      </c>
      <c r="G291" s="26">
        <f>417+50</f>
        <v>467</v>
      </c>
      <c r="H291" s="32">
        <f t="shared" si="156"/>
        <v>5604</v>
      </c>
      <c r="I291" s="32">
        <v>60</v>
      </c>
      <c r="J291" s="36"/>
      <c r="K291" s="32">
        <f t="shared" si="191"/>
        <v>467</v>
      </c>
      <c r="L291" s="32">
        <v>300</v>
      </c>
      <c r="M291" s="37"/>
      <c r="N291" s="24">
        <v>125</v>
      </c>
      <c r="O291" s="24"/>
      <c r="P291" s="12">
        <f t="shared" si="178"/>
        <v>470.50250000000005</v>
      </c>
      <c r="Q291" s="9"/>
      <c r="R291" s="12">
        <f t="shared" ref="R291:R295" si="197">P291/13</f>
        <v>36.192500000000003</v>
      </c>
      <c r="S291" s="12"/>
      <c r="T291" s="12"/>
      <c r="U291" s="12">
        <f t="shared" si="179"/>
        <v>455.32499999999999</v>
      </c>
      <c r="V291" s="12">
        <f t="shared" si="158"/>
        <v>35.024999999999999</v>
      </c>
      <c r="W291" s="12"/>
      <c r="X291" s="12"/>
      <c r="Y291" s="12">
        <f t="shared" si="195"/>
        <v>925.8275000000001</v>
      </c>
      <c r="Z291" s="12">
        <f t="shared" si="194"/>
        <v>60.71</v>
      </c>
      <c r="AA291" s="12">
        <f t="shared" si="181"/>
        <v>4.67</v>
      </c>
      <c r="AB291" s="12">
        <f t="shared" si="182"/>
        <v>150.10714285714286</v>
      </c>
      <c r="AC291" s="12">
        <v>152.9</v>
      </c>
      <c r="AD291" s="12">
        <f t="shared" si="196"/>
        <v>-2.7928571428571445</v>
      </c>
      <c r="AE291" s="12">
        <f t="shared" si="186"/>
        <v>11.633303571428572</v>
      </c>
      <c r="AF291" s="12"/>
      <c r="AG291" s="12">
        <f t="shared" si="159"/>
        <v>11.258035714285715</v>
      </c>
      <c r="AH291" s="12"/>
      <c r="AI291" s="12">
        <f t="shared" si="193"/>
        <v>22.891339285714288</v>
      </c>
      <c r="AJ291" s="12">
        <f t="shared" si="160"/>
        <v>1.5010714285714286</v>
      </c>
      <c r="AK291" s="37"/>
      <c r="AL291" s="37"/>
      <c r="AM291" s="12"/>
      <c r="AN291" s="12"/>
      <c r="AO291" s="12"/>
      <c r="AP291" s="37"/>
      <c r="AQ291" s="37"/>
    </row>
    <row r="292" spans="1:43" ht="24.75">
      <c r="A292" s="21">
        <f t="shared" si="184"/>
        <v>235</v>
      </c>
      <c r="B292" s="27" t="s">
        <v>514</v>
      </c>
      <c r="C292" s="56" t="s">
        <v>507</v>
      </c>
      <c r="D292" s="83" t="s">
        <v>452</v>
      </c>
      <c r="E292" s="84" t="s">
        <v>79</v>
      </c>
      <c r="F292" s="85" t="s">
        <v>351</v>
      </c>
      <c r="G292" s="26">
        <f>417+50</f>
        <v>467</v>
      </c>
      <c r="H292" s="32">
        <f t="shared" si="156"/>
        <v>5604</v>
      </c>
      <c r="I292" s="32">
        <v>60</v>
      </c>
      <c r="J292" s="36"/>
      <c r="K292" s="32">
        <f t="shared" si="191"/>
        <v>467</v>
      </c>
      <c r="L292" s="32">
        <v>300</v>
      </c>
      <c r="M292" s="37"/>
      <c r="N292" s="24">
        <v>125</v>
      </c>
      <c r="O292" s="24"/>
      <c r="P292" s="12">
        <f t="shared" si="178"/>
        <v>470.50250000000005</v>
      </c>
      <c r="Q292" s="9"/>
      <c r="R292" s="12">
        <f t="shared" si="197"/>
        <v>36.192500000000003</v>
      </c>
      <c r="S292" s="12"/>
      <c r="T292" s="12"/>
      <c r="U292" s="12">
        <f t="shared" si="179"/>
        <v>455.32499999999999</v>
      </c>
      <c r="V292" s="12">
        <f t="shared" si="158"/>
        <v>35.024999999999999</v>
      </c>
      <c r="W292" s="12"/>
      <c r="X292" s="12"/>
      <c r="Y292" s="12">
        <f t="shared" si="195"/>
        <v>925.8275000000001</v>
      </c>
      <c r="Z292" s="12">
        <f t="shared" si="194"/>
        <v>60.71</v>
      </c>
      <c r="AA292" s="12">
        <f t="shared" si="181"/>
        <v>4.67</v>
      </c>
      <c r="AB292" s="12">
        <f t="shared" si="182"/>
        <v>150.10714285714286</v>
      </c>
      <c r="AC292" s="12">
        <v>113.43</v>
      </c>
      <c r="AD292" s="12">
        <f t="shared" si="196"/>
        <v>36.677142857142854</v>
      </c>
      <c r="AE292" s="12">
        <f t="shared" si="186"/>
        <v>11.633303571428572</v>
      </c>
      <c r="AF292" s="12"/>
      <c r="AG292" s="12">
        <f t="shared" si="159"/>
        <v>11.258035714285715</v>
      </c>
      <c r="AH292" s="12"/>
      <c r="AI292" s="12">
        <f t="shared" si="193"/>
        <v>22.891339285714288</v>
      </c>
      <c r="AJ292" s="12">
        <f t="shared" si="160"/>
        <v>1.5010714285714286</v>
      </c>
      <c r="AK292" s="37"/>
      <c r="AL292" s="37"/>
      <c r="AM292" s="12"/>
      <c r="AN292" s="12"/>
      <c r="AO292" s="12"/>
      <c r="AP292" s="37"/>
      <c r="AQ292" s="37"/>
    </row>
    <row r="293" spans="1:43" ht="24.75">
      <c r="A293" s="21">
        <f t="shared" si="184"/>
        <v>236</v>
      </c>
      <c r="B293" s="27" t="s">
        <v>515</v>
      </c>
      <c r="C293" s="51" t="s">
        <v>507</v>
      </c>
      <c r="D293" s="83" t="s">
        <v>452</v>
      </c>
      <c r="E293" s="84" t="s">
        <v>79</v>
      </c>
      <c r="F293" s="85" t="s">
        <v>351</v>
      </c>
      <c r="G293" s="26">
        <v>417</v>
      </c>
      <c r="H293" s="32">
        <f>G293*12</f>
        <v>5004</v>
      </c>
      <c r="I293" s="32">
        <v>60</v>
      </c>
      <c r="J293" s="36"/>
      <c r="K293" s="32">
        <f>G293</f>
        <v>417</v>
      </c>
      <c r="L293" s="32">
        <v>300</v>
      </c>
      <c r="M293" s="37"/>
      <c r="N293" s="24">
        <v>125</v>
      </c>
      <c r="O293" s="24"/>
      <c r="P293" s="12">
        <f t="shared" si="178"/>
        <v>420.12750000000005</v>
      </c>
      <c r="Q293" s="9"/>
      <c r="R293" s="12">
        <f t="shared" si="197"/>
        <v>32.317500000000003</v>
      </c>
      <c r="S293" s="12"/>
      <c r="T293" s="12"/>
      <c r="U293" s="12">
        <f>G293*0.075*13</f>
        <v>406.57499999999999</v>
      </c>
      <c r="V293" s="12">
        <f t="shared" si="158"/>
        <v>31.274999999999999</v>
      </c>
      <c r="W293" s="12"/>
      <c r="X293" s="12"/>
      <c r="Y293" s="12">
        <f>P293+S293+U293+W293+0.01</f>
        <v>826.71250000000009</v>
      </c>
      <c r="Z293" s="12">
        <f>G293*0.01*13</f>
        <v>54.21</v>
      </c>
      <c r="AA293" s="12">
        <f t="shared" si="181"/>
        <v>4.17</v>
      </c>
      <c r="AB293" s="12">
        <f>G293/30/7*1.5*45</f>
        <v>134.03571428571428</v>
      </c>
      <c r="AC293" s="12">
        <v>113.43</v>
      </c>
      <c r="AD293" s="12">
        <f>AB293-AC293</f>
        <v>20.605714285714271</v>
      </c>
      <c r="AE293" s="12">
        <f t="shared" si="186"/>
        <v>10.387767857142856</v>
      </c>
      <c r="AF293" s="12"/>
      <c r="AG293" s="12">
        <f>AB293*0.075</f>
        <v>10.05267857142857</v>
      </c>
      <c r="AH293" s="12"/>
      <c r="AI293" s="12">
        <f>AE293+AF293+AG293+AH293</f>
        <v>20.440446428571427</v>
      </c>
      <c r="AJ293" s="12">
        <f>AB293*0.01</f>
        <v>1.3403571428571428</v>
      </c>
      <c r="AK293" s="37"/>
      <c r="AL293" s="37"/>
      <c r="AM293" s="12"/>
      <c r="AN293" s="12"/>
      <c r="AO293" s="12"/>
      <c r="AP293" s="37"/>
      <c r="AQ293" s="37"/>
    </row>
    <row r="294" spans="1:43" ht="24.75">
      <c r="A294" s="21">
        <f t="shared" si="184"/>
        <v>237</v>
      </c>
      <c r="B294" s="27" t="s">
        <v>516</v>
      </c>
      <c r="C294" s="51" t="s">
        <v>507</v>
      </c>
      <c r="D294" s="83" t="s">
        <v>452</v>
      </c>
      <c r="E294" s="84" t="s">
        <v>79</v>
      </c>
      <c r="F294" s="85" t="s">
        <v>351</v>
      </c>
      <c r="G294" s="26">
        <v>417</v>
      </c>
      <c r="H294" s="32">
        <f>G294*12</f>
        <v>5004</v>
      </c>
      <c r="I294" s="32">
        <v>60</v>
      </c>
      <c r="J294" s="36"/>
      <c r="K294" s="32">
        <f>G294</f>
        <v>417</v>
      </c>
      <c r="L294" s="32">
        <v>300</v>
      </c>
      <c r="M294" s="37"/>
      <c r="N294" s="24">
        <v>125</v>
      </c>
      <c r="O294" s="24"/>
      <c r="P294" s="12">
        <f t="shared" si="178"/>
        <v>420.12750000000005</v>
      </c>
      <c r="Q294" s="9"/>
      <c r="R294" s="12">
        <f t="shared" si="197"/>
        <v>32.317500000000003</v>
      </c>
      <c r="S294" s="12"/>
      <c r="T294" s="12"/>
      <c r="U294" s="12">
        <f>G294*0.075*13</f>
        <v>406.57499999999999</v>
      </c>
      <c r="V294" s="12">
        <f t="shared" si="158"/>
        <v>31.274999999999999</v>
      </c>
      <c r="W294" s="12"/>
      <c r="X294" s="12"/>
      <c r="Y294" s="12">
        <f>P294+S294+U294+W294+0.01</f>
        <v>826.71250000000009</v>
      </c>
      <c r="Z294" s="12">
        <f>G294*0.01*13</f>
        <v>54.21</v>
      </c>
      <c r="AA294" s="12">
        <f t="shared" si="181"/>
        <v>4.17</v>
      </c>
      <c r="AB294" s="12">
        <f>G294/30/7*1.5*45</f>
        <v>134.03571428571428</v>
      </c>
      <c r="AC294" s="12">
        <v>113.43</v>
      </c>
      <c r="AD294" s="12">
        <f>AB294-AC294</f>
        <v>20.605714285714271</v>
      </c>
      <c r="AE294" s="12">
        <f t="shared" si="186"/>
        <v>10.387767857142856</v>
      </c>
      <c r="AF294" s="12"/>
      <c r="AG294" s="12">
        <f>AB294*0.075</f>
        <v>10.05267857142857</v>
      </c>
      <c r="AH294" s="12"/>
      <c r="AI294" s="12">
        <f>AE294+AF294+AG294+AH294</f>
        <v>20.440446428571427</v>
      </c>
      <c r="AJ294" s="12">
        <f>AB294*0.01</f>
        <v>1.3403571428571428</v>
      </c>
      <c r="AK294" s="37"/>
      <c r="AL294" s="37"/>
      <c r="AM294" s="12"/>
      <c r="AN294" s="12"/>
      <c r="AO294" s="12"/>
      <c r="AP294" s="37"/>
      <c r="AQ294" s="37"/>
    </row>
    <row r="295" spans="1:43" ht="24.75">
      <c r="A295" s="21">
        <f t="shared" si="184"/>
        <v>238</v>
      </c>
      <c r="B295" s="42" t="s">
        <v>517</v>
      </c>
      <c r="C295" s="51" t="s">
        <v>518</v>
      </c>
      <c r="D295" s="83" t="s">
        <v>452</v>
      </c>
      <c r="E295" s="84" t="s">
        <v>79</v>
      </c>
      <c r="F295" s="85" t="s">
        <v>351</v>
      </c>
      <c r="G295" s="26">
        <v>500</v>
      </c>
      <c r="H295" s="32">
        <f>G295*12</f>
        <v>6000</v>
      </c>
      <c r="I295" s="32">
        <v>60</v>
      </c>
      <c r="J295" s="36"/>
      <c r="K295" s="32">
        <f>G295</f>
        <v>500</v>
      </c>
      <c r="L295" s="32">
        <v>300</v>
      </c>
      <c r="M295" s="37"/>
      <c r="N295" s="24">
        <v>125</v>
      </c>
      <c r="O295" s="24"/>
      <c r="P295" s="12">
        <f t="shared" si="178"/>
        <v>503.75</v>
      </c>
      <c r="Q295" s="9"/>
      <c r="R295" s="12">
        <f t="shared" si="197"/>
        <v>38.75</v>
      </c>
      <c r="S295" s="12"/>
      <c r="T295" s="12"/>
      <c r="U295" s="12">
        <f>G295*0.075*13</f>
        <v>487.5</v>
      </c>
      <c r="V295" s="12">
        <f t="shared" si="158"/>
        <v>37.5</v>
      </c>
      <c r="W295" s="12"/>
      <c r="X295" s="12"/>
      <c r="Y295" s="12">
        <f>P295+S295+U295+W295+0.01</f>
        <v>991.26</v>
      </c>
      <c r="Z295" s="12">
        <f>G295*0.01*13</f>
        <v>65</v>
      </c>
      <c r="AA295" s="12">
        <f t="shared" si="181"/>
        <v>5</v>
      </c>
      <c r="AB295" s="12">
        <f>G295/30/7*1.5*45</f>
        <v>160.71428571428569</v>
      </c>
      <c r="AC295" s="12">
        <v>113.43</v>
      </c>
      <c r="AD295" s="12">
        <f>AB295-AC295</f>
        <v>47.284285714285687</v>
      </c>
      <c r="AE295" s="12">
        <f t="shared" si="186"/>
        <v>12.455357142857141</v>
      </c>
      <c r="AF295" s="12"/>
      <c r="AG295" s="12">
        <f>AB295*0.075</f>
        <v>12.053571428571427</v>
      </c>
      <c r="AH295" s="12"/>
      <c r="AI295" s="12">
        <f>AE295+AF295+AG295+AH295</f>
        <v>24.508928571428569</v>
      </c>
      <c r="AJ295" s="12">
        <f>AB295*0.01</f>
        <v>1.607142857142857</v>
      </c>
      <c r="AK295" s="37"/>
      <c r="AL295" s="37"/>
      <c r="AM295" s="12"/>
      <c r="AN295" s="12"/>
      <c r="AO295" s="12"/>
      <c r="AP295" s="37"/>
      <c r="AQ295" s="37"/>
    </row>
    <row r="296" spans="1:43" ht="24.75">
      <c r="A296" s="21">
        <f t="shared" si="184"/>
        <v>239</v>
      </c>
      <c r="B296" s="27" t="s">
        <v>519</v>
      </c>
      <c r="C296" s="56" t="s">
        <v>520</v>
      </c>
      <c r="D296" s="83" t="s">
        <v>452</v>
      </c>
      <c r="E296" s="84" t="s">
        <v>79</v>
      </c>
      <c r="F296" s="85" t="s">
        <v>351</v>
      </c>
      <c r="G296" s="26">
        <f>614.86+30+50</f>
        <v>694.86</v>
      </c>
      <c r="H296" s="32">
        <f t="shared" si="156"/>
        <v>8338.32</v>
      </c>
      <c r="I296" s="32">
        <v>60</v>
      </c>
      <c r="J296" s="36"/>
      <c r="K296" s="32">
        <f t="shared" si="191"/>
        <v>694.86</v>
      </c>
      <c r="L296" s="32">
        <v>300</v>
      </c>
      <c r="M296" s="37"/>
      <c r="N296" s="24">
        <v>125</v>
      </c>
      <c r="O296" s="24"/>
      <c r="P296" s="12">
        <f t="shared" si="178"/>
        <v>700.07145000000003</v>
      </c>
      <c r="Q296" s="40"/>
      <c r="R296" s="12">
        <f>P296/13</f>
        <v>53.851649999999999</v>
      </c>
      <c r="S296" s="12"/>
      <c r="T296" s="12"/>
      <c r="U296" s="12">
        <f t="shared" ref="U296:U324" si="198">G296*0.075*13</f>
        <v>677.48850000000004</v>
      </c>
      <c r="V296" s="12">
        <f t="shared" si="158"/>
        <v>52.114500000000007</v>
      </c>
      <c r="W296" s="12"/>
      <c r="X296" s="12"/>
      <c r="Y296" s="12">
        <f>P296+S296+U296+W296</f>
        <v>1377.5599500000001</v>
      </c>
      <c r="Z296" s="12">
        <f t="shared" ref="Z296:Z324" si="199">G296*0.01*13</f>
        <v>90.331800000000001</v>
      </c>
      <c r="AA296" s="12">
        <f t="shared" si="181"/>
        <v>6.9485999999999999</v>
      </c>
      <c r="AB296" s="12">
        <f t="shared" si="182"/>
        <v>223.34785714285712</v>
      </c>
      <c r="AC296" s="12">
        <v>155.68</v>
      </c>
      <c r="AD296" s="12">
        <f t="shared" si="196"/>
        <v>67.667857142857116</v>
      </c>
      <c r="AE296" s="12">
        <f t="shared" si="186"/>
        <v>17.309458928571427</v>
      </c>
      <c r="AF296" s="12"/>
      <c r="AG296" s="12">
        <f t="shared" si="159"/>
        <v>16.751089285714283</v>
      </c>
      <c r="AH296" s="12"/>
      <c r="AI296" s="12">
        <f t="shared" ref="AI296:AI300" si="200">AE296+AF296+AG296+AH296</f>
        <v>34.06054821428571</v>
      </c>
      <c r="AJ296" s="12">
        <f t="shared" si="160"/>
        <v>2.2334785714285714</v>
      </c>
      <c r="AK296" s="38"/>
      <c r="AL296" s="38"/>
      <c r="AM296" s="12"/>
      <c r="AN296" s="12"/>
      <c r="AO296" s="12"/>
      <c r="AP296" s="38"/>
      <c r="AQ296" s="37"/>
    </row>
    <row r="297" spans="1:43" ht="24.75">
      <c r="A297" s="21">
        <f t="shared" si="184"/>
        <v>240</v>
      </c>
      <c r="B297" s="27" t="s">
        <v>521</v>
      </c>
      <c r="C297" s="56" t="s">
        <v>520</v>
      </c>
      <c r="D297" s="83" t="s">
        <v>452</v>
      </c>
      <c r="E297" s="84" t="s">
        <v>79</v>
      </c>
      <c r="F297" s="85" t="s">
        <v>351</v>
      </c>
      <c r="G297" s="26">
        <f>614.86+30+50</f>
        <v>694.86</v>
      </c>
      <c r="H297" s="32">
        <f t="shared" si="156"/>
        <v>8338.32</v>
      </c>
      <c r="I297" s="32">
        <v>60</v>
      </c>
      <c r="J297" s="36"/>
      <c r="K297" s="32">
        <f t="shared" si="191"/>
        <v>694.86</v>
      </c>
      <c r="L297" s="32">
        <v>300</v>
      </c>
      <c r="M297" s="37"/>
      <c r="N297" s="24">
        <v>125</v>
      </c>
      <c r="O297" s="24"/>
      <c r="P297" s="12">
        <f t="shared" si="178"/>
        <v>700.07145000000003</v>
      </c>
      <c r="Q297" s="40"/>
      <c r="R297" s="12">
        <f>P297/13</f>
        <v>53.851649999999999</v>
      </c>
      <c r="S297" s="12"/>
      <c r="T297" s="12"/>
      <c r="U297" s="12">
        <f t="shared" si="198"/>
        <v>677.48850000000004</v>
      </c>
      <c r="V297" s="12">
        <f t="shared" si="158"/>
        <v>52.114500000000007</v>
      </c>
      <c r="W297" s="12"/>
      <c r="X297" s="12"/>
      <c r="Y297" s="12">
        <f t="shared" ref="Y297:Y300" si="201">P297+S297+U297+W297</f>
        <v>1377.5599500000001</v>
      </c>
      <c r="Z297" s="12">
        <f t="shared" si="199"/>
        <v>90.331800000000001</v>
      </c>
      <c r="AA297" s="12">
        <f t="shared" si="181"/>
        <v>6.9485999999999999</v>
      </c>
      <c r="AB297" s="12">
        <f t="shared" si="182"/>
        <v>223.34785714285712</v>
      </c>
      <c r="AC297" s="12">
        <v>155.68</v>
      </c>
      <c r="AD297" s="12">
        <f t="shared" si="196"/>
        <v>67.667857142857116</v>
      </c>
      <c r="AE297" s="12">
        <f t="shared" si="186"/>
        <v>17.309458928571427</v>
      </c>
      <c r="AF297" s="12"/>
      <c r="AG297" s="12">
        <f t="shared" si="159"/>
        <v>16.751089285714283</v>
      </c>
      <c r="AH297" s="12"/>
      <c r="AI297" s="12">
        <f t="shared" si="200"/>
        <v>34.06054821428571</v>
      </c>
      <c r="AJ297" s="12">
        <f t="shared" si="160"/>
        <v>2.2334785714285714</v>
      </c>
      <c r="AK297" s="37"/>
      <c r="AL297" s="37"/>
      <c r="AM297" s="12"/>
      <c r="AN297" s="12"/>
      <c r="AO297" s="12"/>
      <c r="AP297" s="37"/>
      <c r="AQ297" s="37"/>
    </row>
    <row r="298" spans="1:43" ht="24.75">
      <c r="A298" s="21">
        <f t="shared" si="184"/>
        <v>241</v>
      </c>
      <c r="B298" s="27" t="s">
        <v>522</v>
      </c>
      <c r="C298" s="56" t="s">
        <v>520</v>
      </c>
      <c r="D298" s="83" t="s">
        <v>452</v>
      </c>
      <c r="E298" s="84" t="s">
        <v>79</v>
      </c>
      <c r="F298" s="85" t="s">
        <v>351</v>
      </c>
      <c r="G298" s="26">
        <f>614.86+30+50</f>
        <v>694.86</v>
      </c>
      <c r="H298" s="32">
        <f t="shared" si="156"/>
        <v>8338.32</v>
      </c>
      <c r="I298" s="32">
        <v>60</v>
      </c>
      <c r="J298" s="36"/>
      <c r="K298" s="32">
        <f t="shared" si="191"/>
        <v>694.86</v>
      </c>
      <c r="L298" s="32">
        <v>300</v>
      </c>
      <c r="M298" s="37"/>
      <c r="N298" s="24">
        <v>125</v>
      </c>
      <c r="O298" s="24"/>
      <c r="P298" s="12">
        <f t="shared" si="178"/>
        <v>700.07145000000003</v>
      </c>
      <c r="Q298" s="40"/>
      <c r="R298" s="12">
        <f>P298/13</f>
        <v>53.851649999999999</v>
      </c>
      <c r="S298" s="12"/>
      <c r="T298" s="12"/>
      <c r="U298" s="12">
        <f t="shared" si="198"/>
        <v>677.48850000000004</v>
      </c>
      <c r="V298" s="12">
        <f t="shared" si="158"/>
        <v>52.114500000000007</v>
      </c>
      <c r="W298" s="12"/>
      <c r="X298" s="12"/>
      <c r="Y298" s="12">
        <f t="shared" si="201"/>
        <v>1377.5599500000001</v>
      </c>
      <c r="Z298" s="12">
        <f t="shared" si="199"/>
        <v>90.331800000000001</v>
      </c>
      <c r="AA298" s="12">
        <f t="shared" si="181"/>
        <v>6.9485999999999999</v>
      </c>
      <c r="AB298" s="12">
        <f t="shared" si="182"/>
        <v>223.34785714285712</v>
      </c>
      <c r="AC298" s="12">
        <v>155.68</v>
      </c>
      <c r="AD298" s="12">
        <f t="shared" si="196"/>
        <v>67.667857142857116</v>
      </c>
      <c r="AE298" s="12">
        <f t="shared" si="186"/>
        <v>17.309458928571427</v>
      </c>
      <c r="AF298" s="12"/>
      <c r="AG298" s="12">
        <f t="shared" si="159"/>
        <v>16.751089285714283</v>
      </c>
      <c r="AH298" s="12"/>
      <c r="AI298" s="12">
        <f t="shared" si="200"/>
        <v>34.06054821428571</v>
      </c>
      <c r="AJ298" s="12">
        <f t="shared" si="160"/>
        <v>2.2334785714285714</v>
      </c>
      <c r="AK298" s="37"/>
      <c r="AL298" s="37"/>
      <c r="AM298" s="12"/>
      <c r="AN298" s="12"/>
      <c r="AO298" s="12"/>
      <c r="AP298" s="37"/>
      <c r="AQ298" s="37"/>
    </row>
    <row r="299" spans="1:43" ht="24.75">
      <c r="A299" s="21">
        <f t="shared" si="184"/>
        <v>242</v>
      </c>
      <c r="B299" s="27" t="s">
        <v>523</v>
      </c>
      <c r="C299" s="56" t="s">
        <v>520</v>
      </c>
      <c r="D299" s="83" t="s">
        <v>452</v>
      </c>
      <c r="E299" s="84" t="s">
        <v>79</v>
      </c>
      <c r="F299" s="85" t="s">
        <v>351</v>
      </c>
      <c r="G299" s="26">
        <f>614.86+30+50</f>
        <v>694.86</v>
      </c>
      <c r="H299" s="32">
        <f t="shared" si="156"/>
        <v>8338.32</v>
      </c>
      <c r="I299" s="32">
        <v>60</v>
      </c>
      <c r="J299" s="36"/>
      <c r="K299" s="32">
        <f t="shared" si="191"/>
        <v>694.86</v>
      </c>
      <c r="L299" s="32">
        <v>300</v>
      </c>
      <c r="M299" s="37"/>
      <c r="N299" s="24">
        <v>125</v>
      </c>
      <c r="O299" s="24"/>
      <c r="P299" s="12">
        <f t="shared" si="178"/>
        <v>700.07145000000003</v>
      </c>
      <c r="Q299" s="9">
        <f>P299/13</f>
        <v>53.851649999999999</v>
      </c>
      <c r="R299" s="12"/>
      <c r="S299" s="12"/>
      <c r="T299" s="12"/>
      <c r="U299" s="12">
        <f t="shared" si="198"/>
        <v>677.48850000000004</v>
      </c>
      <c r="V299" s="12">
        <f t="shared" si="158"/>
        <v>52.114500000000007</v>
      </c>
      <c r="W299" s="12"/>
      <c r="X299" s="12"/>
      <c r="Y299" s="12">
        <f t="shared" si="201"/>
        <v>1377.5599500000001</v>
      </c>
      <c r="Z299" s="12">
        <f t="shared" si="199"/>
        <v>90.331800000000001</v>
      </c>
      <c r="AA299" s="12">
        <f t="shared" si="181"/>
        <v>6.9485999999999999</v>
      </c>
      <c r="AB299" s="12">
        <f t="shared" si="182"/>
        <v>223.34785714285712</v>
      </c>
      <c r="AC299" s="12"/>
      <c r="AD299" s="12"/>
      <c r="AE299" s="12">
        <f t="shared" si="186"/>
        <v>17.309458928571427</v>
      </c>
      <c r="AF299" s="12"/>
      <c r="AG299" s="12">
        <f t="shared" si="159"/>
        <v>16.751089285714283</v>
      </c>
      <c r="AH299" s="12"/>
      <c r="AI299" s="12">
        <f t="shared" si="200"/>
        <v>34.06054821428571</v>
      </c>
      <c r="AJ299" s="12">
        <f t="shared" si="160"/>
        <v>2.2334785714285714</v>
      </c>
      <c r="AK299" s="37"/>
      <c r="AL299" s="37"/>
      <c r="AM299" s="12"/>
      <c r="AN299" s="12"/>
      <c r="AO299" s="12"/>
      <c r="AP299" s="37"/>
      <c r="AQ299" s="37"/>
    </row>
    <row r="300" spans="1:43" ht="24.75">
      <c r="A300" s="21">
        <f t="shared" si="184"/>
        <v>243</v>
      </c>
      <c r="B300" s="27" t="s">
        <v>524</v>
      </c>
      <c r="C300" s="56" t="s">
        <v>520</v>
      </c>
      <c r="D300" s="83" t="s">
        <v>452</v>
      </c>
      <c r="E300" s="84" t="s">
        <v>79</v>
      </c>
      <c r="F300" s="85" t="s">
        <v>351</v>
      </c>
      <c r="G300" s="26">
        <f>614.86+30+50</f>
        <v>694.86</v>
      </c>
      <c r="H300" s="32">
        <f t="shared" si="156"/>
        <v>8338.32</v>
      </c>
      <c r="I300" s="32">
        <v>60</v>
      </c>
      <c r="J300" s="36"/>
      <c r="K300" s="32">
        <f t="shared" si="191"/>
        <v>694.86</v>
      </c>
      <c r="L300" s="32">
        <v>300</v>
      </c>
      <c r="M300" s="37"/>
      <c r="N300" s="24">
        <v>125</v>
      </c>
      <c r="O300" s="24"/>
      <c r="P300" s="12">
        <f>G300*0.0775*13</f>
        <v>700.07145000000003</v>
      </c>
      <c r="Q300" s="9">
        <f>P300/13</f>
        <v>53.851649999999999</v>
      </c>
      <c r="R300" s="12"/>
      <c r="S300" s="12"/>
      <c r="T300" s="12"/>
      <c r="U300" s="12">
        <f t="shared" si="198"/>
        <v>677.48850000000004</v>
      </c>
      <c r="V300" s="12">
        <f t="shared" si="158"/>
        <v>52.114500000000007</v>
      </c>
      <c r="W300" s="12"/>
      <c r="X300" s="12"/>
      <c r="Y300" s="12">
        <f t="shared" si="201"/>
        <v>1377.5599500000001</v>
      </c>
      <c r="Z300" s="12">
        <f t="shared" si="199"/>
        <v>90.331800000000001</v>
      </c>
      <c r="AA300" s="12">
        <f t="shared" si="181"/>
        <v>6.9485999999999999</v>
      </c>
      <c r="AB300" s="12">
        <f t="shared" si="182"/>
        <v>223.34785714285712</v>
      </c>
      <c r="AC300" s="12"/>
      <c r="AD300" s="12"/>
      <c r="AE300" s="12">
        <f>AB300*0.0775</f>
        <v>17.309458928571427</v>
      </c>
      <c r="AF300" s="12"/>
      <c r="AG300" s="12">
        <f t="shared" si="159"/>
        <v>16.751089285714283</v>
      </c>
      <c r="AH300" s="12"/>
      <c r="AI300" s="12">
        <f t="shared" si="200"/>
        <v>34.06054821428571</v>
      </c>
      <c r="AJ300" s="12">
        <f t="shared" si="160"/>
        <v>2.2334785714285714</v>
      </c>
      <c r="AK300" s="37"/>
      <c r="AL300" s="37"/>
      <c r="AM300" s="12"/>
      <c r="AN300" s="12"/>
      <c r="AO300" s="12"/>
      <c r="AP300" s="37"/>
      <c r="AQ300" s="37"/>
    </row>
    <row r="301" spans="1:43" ht="24.75">
      <c r="A301" s="21">
        <f t="shared" si="184"/>
        <v>244</v>
      </c>
      <c r="B301" s="27" t="s">
        <v>525</v>
      </c>
      <c r="C301" s="56" t="s">
        <v>520</v>
      </c>
      <c r="D301" s="83" t="s">
        <v>452</v>
      </c>
      <c r="E301" s="84" t="s">
        <v>79</v>
      </c>
      <c r="F301" s="85" t="s">
        <v>351</v>
      </c>
      <c r="G301" s="26">
        <f>601.72+30+50</f>
        <v>681.72</v>
      </c>
      <c r="H301" s="32">
        <f t="shared" si="156"/>
        <v>8180.64</v>
      </c>
      <c r="I301" s="32">
        <v>60</v>
      </c>
      <c r="J301" s="36"/>
      <c r="K301" s="32">
        <f t="shared" si="191"/>
        <v>681.72</v>
      </c>
      <c r="L301" s="32">
        <v>300</v>
      </c>
      <c r="M301" s="37"/>
      <c r="N301" s="24">
        <v>125</v>
      </c>
      <c r="O301" s="24"/>
      <c r="P301" s="12">
        <f t="shared" si="178"/>
        <v>686.8329</v>
      </c>
      <c r="Q301" s="40"/>
      <c r="R301" s="12">
        <f>P301/13</f>
        <v>52.833300000000001</v>
      </c>
      <c r="S301" s="12"/>
      <c r="T301" s="12"/>
      <c r="U301" s="12">
        <f t="shared" si="198"/>
        <v>664.67700000000002</v>
      </c>
      <c r="V301" s="12">
        <f t="shared" si="158"/>
        <v>51.129000000000005</v>
      </c>
      <c r="W301" s="12"/>
      <c r="X301" s="12"/>
      <c r="Y301" s="12">
        <f>P301+S301+U301+W301</f>
        <v>1351.5099</v>
      </c>
      <c r="Z301" s="12">
        <f t="shared" si="199"/>
        <v>88.62360000000001</v>
      </c>
      <c r="AA301" s="12">
        <f t="shared" si="181"/>
        <v>6.8172000000000006</v>
      </c>
      <c r="AB301" s="12">
        <f t="shared" si="182"/>
        <v>219.12428571428569</v>
      </c>
      <c r="AC301" s="12"/>
      <c r="AD301" s="12"/>
      <c r="AE301" s="12">
        <f t="shared" si="186"/>
        <v>16.982132142857139</v>
      </c>
      <c r="AF301" s="12"/>
      <c r="AG301" s="12">
        <f t="shared" si="159"/>
        <v>16.434321428571426</v>
      </c>
      <c r="AH301" s="12"/>
      <c r="AI301" s="12">
        <f>AE301+AF301+AG301+AH301-0.01</f>
        <v>33.406453571428564</v>
      </c>
      <c r="AJ301" s="12">
        <f t="shared" si="160"/>
        <v>2.191242857142857</v>
      </c>
      <c r="AK301" s="37"/>
      <c r="AL301" s="37"/>
      <c r="AM301" s="12"/>
      <c r="AN301" s="12"/>
      <c r="AO301" s="12"/>
      <c r="AP301" s="37"/>
      <c r="AQ301" s="37"/>
    </row>
    <row r="302" spans="1:43" ht="24.75">
      <c r="A302" s="21">
        <f t="shared" si="184"/>
        <v>245</v>
      </c>
      <c r="B302" s="27" t="s">
        <v>526</v>
      </c>
      <c r="C302" s="56" t="s">
        <v>527</v>
      </c>
      <c r="D302" s="83" t="s">
        <v>452</v>
      </c>
      <c r="E302" s="84" t="s">
        <v>79</v>
      </c>
      <c r="F302" s="85" t="s">
        <v>351</v>
      </c>
      <c r="G302" s="26">
        <f>547+30+50</f>
        <v>627</v>
      </c>
      <c r="H302" s="32">
        <f t="shared" si="156"/>
        <v>7524</v>
      </c>
      <c r="I302" s="32">
        <v>60</v>
      </c>
      <c r="J302" s="36"/>
      <c r="K302" s="32">
        <f t="shared" si="191"/>
        <v>627</v>
      </c>
      <c r="L302" s="32">
        <v>300</v>
      </c>
      <c r="M302" s="37"/>
      <c r="N302" s="24">
        <v>125</v>
      </c>
      <c r="O302" s="24"/>
      <c r="P302" s="12">
        <f t="shared" si="178"/>
        <v>631.70249999999999</v>
      </c>
      <c r="Q302" s="40"/>
      <c r="R302" s="12">
        <f>P302/13</f>
        <v>48.592500000000001</v>
      </c>
      <c r="S302" s="12"/>
      <c r="T302" s="12"/>
      <c r="U302" s="12">
        <f t="shared" si="198"/>
        <v>611.32499999999993</v>
      </c>
      <c r="V302" s="12">
        <f t="shared" si="158"/>
        <v>47.024999999999991</v>
      </c>
      <c r="W302" s="12"/>
      <c r="X302" s="12"/>
      <c r="Y302" s="12">
        <f>P302+S302+U302+W302</f>
        <v>1243.0274999999999</v>
      </c>
      <c r="Z302" s="12">
        <f t="shared" si="199"/>
        <v>81.510000000000005</v>
      </c>
      <c r="AA302" s="12">
        <f t="shared" si="181"/>
        <v>6.2700000000000005</v>
      </c>
      <c r="AB302" s="12">
        <f t="shared" si="182"/>
        <v>201.53571428571425</v>
      </c>
      <c r="AC302" s="12"/>
      <c r="AD302" s="12"/>
      <c r="AE302" s="12">
        <f t="shared" si="186"/>
        <v>15.619017857142854</v>
      </c>
      <c r="AF302" s="12"/>
      <c r="AG302" s="12">
        <f t="shared" si="159"/>
        <v>15.115178571428569</v>
      </c>
      <c r="AH302" s="12"/>
      <c r="AI302" s="12">
        <f t="shared" ref="AI302:AI309" si="202">AE302+AF302+AG302+AH302+0.01</f>
        <v>30.744196428571424</v>
      </c>
      <c r="AJ302" s="12">
        <f t="shared" si="160"/>
        <v>2.0153571428571424</v>
      </c>
      <c r="AK302" s="37"/>
      <c r="AL302" s="37"/>
      <c r="AM302" s="12"/>
      <c r="AN302" s="12"/>
      <c r="AO302" s="12"/>
      <c r="AP302" s="37"/>
      <c r="AQ302" s="37"/>
    </row>
    <row r="303" spans="1:43" ht="24.75">
      <c r="A303" s="21">
        <f t="shared" si="184"/>
        <v>246</v>
      </c>
      <c r="B303" s="27" t="s">
        <v>528</v>
      </c>
      <c r="C303" s="56" t="s">
        <v>527</v>
      </c>
      <c r="D303" s="83" t="s">
        <v>452</v>
      </c>
      <c r="E303" s="84" t="s">
        <v>79</v>
      </c>
      <c r="F303" s="85" t="s">
        <v>351</v>
      </c>
      <c r="G303" s="26">
        <f>547+30+50</f>
        <v>627</v>
      </c>
      <c r="H303" s="32">
        <f t="shared" si="156"/>
        <v>7524</v>
      </c>
      <c r="I303" s="32">
        <v>60</v>
      </c>
      <c r="J303" s="36"/>
      <c r="K303" s="32">
        <f t="shared" si="191"/>
        <v>627</v>
      </c>
      <c r="L303" s="32">
        <v>300</v>
      </c>
      <c r="M303" s="37"/>
      <c r="N303" s="24">
        <v>125</v>
      </c>
      <c r="O303" s="24"/>
      <c r="P303" s="12">
        <f t="shared" si="178"/>
        <v>631.70249999999999</v>
      </c>
      <c r="Q303" s="9">
        <f>P303/13</f>
        <v>48.592500000000001</v>
      </c>
      <c r="R303" s="12"/>
      <c r="S303" s="12"/>
      <c r="T303" s="12"/>
      <c r="U303" s="12">
        <f t="shared" si="198"/>
        <v>611.32499999999993</v>
      </c>
      <c r="V303" s="12">
        <f t="shared" si="158"/>
        <v>47.024999999999991</v>
      </c>
      <c r="W303" s="12"/>
      <c r="X303" s="12"/>
      <c r="Y303" s="12">
        <f t="shared" ref="Y303:Y324" si="203">P303+S303+U303+W303</f>
        <v>1243.0274999999999</v>
      </c>
      <c r="Z303" s="12">
        <f t="shared" si="199"/>
        <v>81.510000000000005</v>
      </c>
      <c r="AA303" s="12">
        <f t="shared" si="181"/>
        <v>6.2700000000000005</v>
      </c>
      <c r="AB303" s="12">
        <f t="shared" si="182"/>
        <v>201.53571428571425</v>
      </c>
      <c r="AC303" s="12"/>
      <c r="AD303" s="12"/>
      <c r="AE303" s="12">
        <f t="shared" si="186"/>
        <v>15.619017857142854</v>
      </c>
      <c r="AF303" s="12"/>
      <c r="AG303" s="12">
        <f t="shared" si="159"/>
        <v>15.115178571428569</v>
      </c>
      <c r="AH303" s="12"/>
      <c r="AI303" s="12">
        <f t="shared" si="202"/>
        <v>30.744196428571424</v>
      </c>
      <c r="AJ303" s="12">
        <f t="shared" si="160"/>
        <v>2.0153571428571424</v>
      </c>
      <c r="AK303" s="37"/>
      <c r="AL303" s="37"/>
      <c r="AM303" s="12"/>
      <c r="AN303" s="12"/>
      <c r="AO303" s="12"/>
      <c r="AP303" s="37"/>
      <c r="AQ303" s="37"/>
    </row>
    <row r="304" spans="1:43" ht="24.75">
      <c r="A304" s="21">
        <f t="shared" si="184"/>
        <v>247</v>
      </c>
      <c r="B304" s="27" t="s">
        <v>529</v>
      </c>
      <c r="C304" s="56" t="s">
        <v>527</v>
      </c>
      <c r="D304" s="83" t="s">
        <v>452</v>
      </c>
      <c r="E304" s="84" t="s">
        <v>79</v>
      </c>
      <c r="F304" s="85" t="s">
        <v>351</v>
      </c>
      <c r="G304" s="26">
        <f t="shared" ref="G304:G309" si="204">547+30+50</f>
        <v>627</v>
      </c>
      <c r="H304" s="32">
        <f t="shared" si="156"/>
        <v>7524</v>
      </c>
      <c r="I304" s="32">
        <v>60</v>
      </c>
      <c r="J304" s="36"/>
      <c r="K304" s="32">
        <f t="shared" si="191"/>
        <v>627</v>
      </c>
      <c r="L304" s="32">
        <v>300</v>
      </c>
      <c r="M304" s="37"/>
      <c r="N304" s="24">
        <v>125</v>
      </c>
      <c r="O304" s="24"/>
      <c r="P304" s="12">
        <f t="shared" si="178"/>
        <v>631.70249999999999</v>
      </c>
      <c r="Q304" s="40"/>
      <c r="R304" s="12">
        <f>P304/13</f>
        <v>48.592500000000001</v>
      </c>
      <c r="S304" s="12"/>
      <c r="T304" s="12"/>
      <c r="U304" s="12">
        <f t="shared" si="198"/>
        <v>611.32499999999993</v>
      </c>
      <c r="V304" s="12">
        <f t="shared" si="158"/>
        <v>47.024999999999991</v>
      </c>
      <c r="W304" s="12"/>
      <c r="X304" s="12"/>
      <c r="Y304" s="12">
        <f t="shared" si="203"/>
        <v>1243.0274999999999</v>
      </c>
      <c r="Z304" s="12">
        <f t="shared" si="199"/>
        <v>81.510000000000005</v>
      </c>
      <c r="AA304" s="12">
        <f t="shared" si="181"/>
        <v>6.2700000000000005</v>
      </c>
      <c r="AB304" s="12">
        <f t="shared" si="182"/>
        <v>201.53571428571425</v>
      </c>
      <c r="AC304" s="12"/>
      <c r="AD304" s="12"/>
      <c r="AE304" s="12">
        <f t="shared" si="186"/>
        <v>15.619017857142854</v>
      </c>
      <c r="AF304" s="12"/>
      <c r="AG304" s="12">
        <f t="shared" si="159"/>
        <v>15.115178571428569</v>
      </c>
      <c r="AH304" s="12"/>
      <c r="AI304" s="12">
        <f t="shared" si="202"/>
        <v>30.744196428571424</v>
      </c>
      <c r="AJ304" s="12">
        <f t="shared" si="160"/>
        <v>2.0153571428571424</v>
      </c>
      <c r="AK304" s="37"/>
      <c r="AL304" s="37"/>
      <c r="AM304" s="12"/>
      <c r="AN304" s="12"/>
      <c r="AO304" s="12"/>
      <c r="AP304" s="37"/>
      <c r="AQ304" s="37"/>
    </row>
    <row r="305" spans="1:43" ht="24.75">
      <c r="A305" s="21">
        <f t="shared" si="184"/>
        <v>248</v>
      </c>
      <c r="B305" s="27" t="s">
        <v>530</v>
      </c>
      <c r="C305" s="56" t="s">
        <v>527</v>
      </c>
      <c r="D305" s="83" t="s">
        <v>452</v>
      </c>
      <c r="E305" s="84" t="s">
        <v>79</v>
      </c>
      <c r="F305" s="85" t="s">
        <v>351</v>
      </c>
      <c r="G305" s="26">
        <f t="shared" si="204"/>
        <v>627</v>
      </c>
      <c r="H305" s="32">
        <f t="shared" si="156"/>
        <v>7524</v>
      </c>
      <c r="I305" s="32">
        <v>60</v>
      </c>
      <c r="J305" s="36"/>
      <c r="K305" s="32">
        <f t="shared" si="191"/>
        <v>627</v>
      </c>
      <c r="L305" s="32">
        <v>300</v>
      </c>
      <c r="M305" s="37"/>
      <c r="N305" s="24">
        <v>125</v>
      </c>
      <c r="O305" s="24"/>
      <c r="P305" s="12">
        <f t="shared" si="178"/>
        <v>631.70249999999999</v>
      </c>
      <c r="Q305" s="40"/>
      <c r="R305" s="12">
        <f>P305/13</f>
        <v>48.592500000000001</v>
      </c>
      <c r="S305" s="12"/>
      <c r="T305" s="12"/>
      <c r="U305" s="12">
        <f t="shared" si="198"/>
        <v>611.32499999999993</v>
      </c>
      <c r="V305" s="12">
        <f t="shared" si="158"/>
        <v>47.024999999999991</v>
      </c>
      <c r="W305" s="12"/>
      <c r="X305" s="12"/>
      <c r="Y305" s="12">
        <f t="shared" si="203"/>
        <v>1243.0274999999999</v>
      </c>
      <c r="Z305" s="12">
        <f t="shared" si="199"/>
        <v>81.510000000000005</v>
      </c>
      <c r="AA305" s="12">
        <f t="shared" si="181"/>
        <v>6.2700000000000005</v>
      </c>
      <c r="AB305" s="12">
        <f t="shared" si="182"/>
        <v>201.53571428571425</v>
      </c>
      <c r="AC305" s="12"/>
      <c r="AD305" s="12"/>
      <c r="AE305" s="12">
        <f t="shared" si="186"/>
        <v>15.619017857142854</v>
      </c>
      <c r="AF305" s="12"/>
      <c r="AG305" s="12">
        <f t="shared" si="159"/>
        <v>15.115178571428569</v>
      </c>
      <c r="AH305" s="12"/>
      <c r="AI305" s="12">
        <f t="shared" si="202"/>
        <v>30.744196428571424</v>
      </c>
      <c r="AJ305" s="12">
        <f t="shared" si="160"/>
        <v>2.0153571428571424</v>
      </c>
      <c r="AK305" s="37"/>
      <c r="AL305" s="37"/>
      <c r="AM305" s="12"/>
      <c r="AN305" s="12"/>
      <c r="AO305" s="12"/>
      <c r="AP305" s="37"/>
      <c r="AQ305" s="37"/>
    </row>
    <row r="306" spans="1:43" ht="24.75">
      <c r="A306" s="21">
        <f t="shared" si="184"/>
        <v>249</v>
      </c>
      <c r="B306" s="27" t="s">
        <v>531</v>
      </c>
      <c r="C306" s="56" t="s">
        <v>527</v>
      </c>
      <c r="D306" s="83" t="s">
        <v>452</v>
      </c>
      <c r="E306" s="84" t="s">
        <v>79</v>
      </c>
      <c r="F306" s="85" t="s">
        <v>351</v>
      </c>
      <c r="G306" s="26">
        <f t="shared" si="204"/>
        <v>627</v>
      </c>
      <c r="H306" s="32">
        <f t="shared" si="156"/>
        <v>7524</v>
      </c>
      <c r="I306" s="32">
        <v>60</v>
      </c>
      <c r="J306" s="36"/>
      <c r="K306" s="32">
        <f t="shared" si="191"/>
        <v>627</v>
      </c>
      <c r="L306" s="32">
        <v>300</v>
      </c>
      <c r="M306" s="37"/>
      <c r="N306" s="24">
        <v>125</v>
      </c>
      <c r="O306" s="24"/>
      <c r="P306" s="12">
        <f t="shared" si="178"/>
        <v>631.70249999999999</v>
      </c>
      <c r="Q306" s="40"/>
      <c r="R306" s="12">
        <f>P306/13</f>
        <v>48.592500000000001</v>
      </c>
      <c r="S306" s="12"/>
      <c r="T306" s="12"/>
      <c r="U306" s="12">
        <f>G306*0.075*13</f>
        <v>611.32499999999993</v>
      </c>
      <c r="V306" s="12">
        <f t="shared" si="158"/>
        <v>47.024999999999991</v>
      </c>
      <c r="W306" s="12"/>
      <c r="X306" s="12"/>
      <c r="Y306" s="12">
        <f t="shared" si="203"/>
        <v>1243.0274999999999</v>
      </c>
      <c r="Z306" s="12">
        <f>G306*0.01*13</f>
        <v>81.510000000000005</v>
      </c>
      <c r="AA306" s="12">
        <f t="shared" si="181"/>
        <v>6.2700000000000005</v>
      </c>
      <c r="AB306" s="12">
        <f>G306/30/7*1.5*45</f>
        <v>201.53571428571425</v>
      </c>
      <c r="AC306" s="12"/>
      <c r="AD306" s="12"/>
      <c r="AE306" s="12">
        <f t="shared" si="186"/>
        <v>15.619017857142854</v>
      </c>
      <c r="AF306" s="12"/>
      <c r="AG306" s="12">
        <f t="shared" si="159"/>
        <v>15.115178571428569</v>
      </c>
      <c r="AH306" s="12"/>
      <c r="AI306" s="12">
        <f t="shared" si="202"/>
        <v>30.744196428571424</v>
      </c>
      <c r="AJ306" s="12">
        <f t="shared" si="160"/>
        <v>2.0153571428571424</v>
      </c>
      <c r="AK306" s="37"/>
      <c r="AL306" s="37"/>
      <c r="AM306" s="12"/>
      <c r="AN306" s="12"/>
      <c r="AO306" s="12"/>
      <c r="AP306" s="37"/>
      <c r="AQ306" s="37"/>
    </row>
    <row r="307" spans="1:43" ht="24.75">
      <c r="A307" s="21">
        <f t="shared" si="184"/>
        <v>250</v>
      </c>
      <c r="B307" s="27" t="s">
        <v>532</v>
      </c>
      <c r="C307" s="56" t="s">
        <v>527</v>
      </c>
      <c r="D307" s="83" t="s">
        <v>452</v>
      </c>
      <c r="E307" s="84" t="s">
        <v>79</v>
      </c>
      <c r="F307" s="85" t="s">
        <v>351</v>
      </c>
      <c r="G307" s="26">
        <f t="shared" si="204"/>
        <v>627</v>
      </c>
      <c r="H307" s="32">
        <f t="shared" si="156"/>
        <v>7524</v>
      </c>
      <c r="I307" s="32">
        <v>60</v>
      </c>
      <c r="J307" s="36"/>
      <c r="K307" s="32">
        <f t="shared" si="191"/>
        <v>627</v>
      </c>
      <c r="L307" s="32">
        <v>300</v>
      </c>
      <c r="M307" s="37"/>
      <c r="N307" s="24">
        <v>125</v>
      </c>
      <c r="O307" s="24"/>
      <c r="P307" s="12">
        <f t="shared" si="178"/>
        <v>631.70249999999999</v>
      </c>
      <c r="Q307" s="40"/>
      <c r="R307" s="12">
        <f>P307/13</f>
        <v>48.592500000000001</v>
      </c>
      <c r="S307" s="12"/>
      <c r="T307" s="12"/>
      <c r="U307" s="12">
        <f>G307*0.075*13</f>
        <v>611.32499999999993</v>
      </c>
      <c r="V307" s="12">
        <f t="shared" si="158"/>
        <v>47.024999999999991</v>
      </c>
      <c r="W307" s="12"/>
      <c r="X307" s="12"/>
      <c r="Y307" s="12">
        <f t="shared" si="203"/>
        <v>1243.0274999999999</v>
      </c>
      <c r="Z307" s="12">
        <f>G307*0.01*13</f>
        <v>81.510000000000005</v>
      </c>
      <c r="AA307" s="12">
        <f t="shared" si="181"/>
        <v>6.2700000000000005</v>
      </c>
      <c r="AB307" s="12">
        <f>G307/30/7*1.5*45</f>
        <v>201.53571428571425</v>
      </c>
      <c r="AC307" s="12"/>
      <c r="AD307" s="12"/>
      <c r="AE307" s="12">
        <f t="shared" si="186"/>
        <v>15.619017857142854</v>
      </c>
      <c r="AF307" s="12"/>
      <c r="AG307" s="12">
        <f t="shared" si="159"/>
        <v>15.115178571428569</v>
      </c>
      <c r="AH307" s="12"/>
      <c r="AI307" s="12">
        <f t="shared" si="202"/>
        <v>30.744196428571424</v>
      </c>
      <c r="AJ307" s="12">
        <f t="shared" si="160"/>
        <v>2.0153571428571424</v>
      </c>
      <c r="AK307" s="37"/>
      <c r="AL307" s="37"/>
      <c r="AM307" s="12"/>
      <c r="AN307" s="12"/>
      <c r="AO307" s="12"/>
      <c r="AP307" s="37"/>
      <c r="AQ307" s="37"/>
    </row>
    <row r="308" spans="1:43" ht="24.75">
      <c r="A308" s="21">
        <f t="shared" si="184"/>
        <v>251</v>
      </c>
      <c r="B308" s="27" t="s">
        <v>533</v>
      </c>
      <c r="C308" s="56" t="s">
        <v>527</v>
      </c>
      <c r="D308" s="83" t="s">
        <v>452</v>
      </c>
      <c r="E308" s="84" t="s">
        <v>79</v>
      </c>
      <c r="F308" s="85" t="s">
        <v>351</v>
      </c>
      <c r="G308" s="26">
        <f t="shared" si="204"/>
        <v>627</v>
      </c>
      <c r="H308" s="32">
        <f t="shared" si="156"/>
        <v>7524</v>
      </c>
      <c r="I308" s="32">
        <v>60</v>
      </c>
      <c r="J308" s="36"/>
      <c r="K308" s="32">
        <f t="shared" si="191"/>
        <v>627</v>
      </c>
      <c r="L308" s="32">
        <v>300</v>
      </c>
      <c r="M308" s="37"/>
      <c r="N308" s="24">
        <v>125</v>
      </c>
      <c r="O308" s="24"/>
      <c r="P308" s="12">
        <f t="shared" si="178"/>
        <v>631.70249999999999</v>
      </c>
      <c r="Q308" s="9">
        <f>P308/13</f>
        <v>48.592500000000001</v>
      </c>
      <c r="R308" s="12"/>
      <c r="S308" s="12"/>
      <c r="T308" s="12"/>
      <c r="U308" s="12">
        <f>G308*0.075*13</f>
        <v>611.32499999999993</v>
      </c>
      <c r="V308" s="12">
        <f t="shared" si="158"/>
        <v>47.024999999999991</v>
      </c>
      <c r="W308" s="12"/>
      <c r="X308" s="12"/>
      <c r="Y308" s="12">
        <f t="shared" si="203"/>
        <v>1243.0274999999999</v>
      </c>
      <c r="Z308" s="12">
        <f>G308*0.01*13</f>
        <v>81.510000000000005</v>
      </c>
      <c r="AA308" s="12">
        <f t="shared" si="181"/>
        <v>6.2700000000000005</v>
      </c>
      <c r="AB308" s="12">
        <f>G308/30/7*1.5*45</f>
        <v>201.53571428571425</v>
      </c>
      <c r="AC308" s="12"/>
      <c r="AD308" s="12"/>
      <c r="AE308" s="12">
        <f t="shared" si="186"/>
        <v>15.619017857142854</v>
      </c>
      <c r="AF308" s="12"/>
      <c r="AG308" s="12">
        <f t="shared" si="159"/>
        <v>15.115178571428569</v>
      </c>
      <c r="AH308" s="12"/>
      <c r="AI308" s="12">
        <f t="shared" si="202"/>
        <v>30.744196428571424</v>
      </c>
      <c r="AJ308" s="12">
        <f t="shared" si="160"/>
        <v>2.0153571428571424</v>
      </c>
      <c r="AK308" s="37"/>
      <c r="AL308" s="37"/>
      <c r="AM308" s="12"/>
      <c r="AN308" s="12"/>
      <c r="AO308" s="12"/>
      <c r="AP308" s="37"/>
      <c r="AQ308" s="37"/>
    </row>
    <row r="309" spans="1:43" ht="24.75">
      <c r="A309" s="21">
        <f t="shared" si="184"/>
        <v>252</v>
      </c>
      <c r="B309" s="27" t="s">
        <v>534</v>
      </c>
      <c r="C309" s="56" t="s">
        <v>527</v>
      </c>
      <c r="D309" s="83" t="s">
        <v>452</v>
      </c>
      <c r="E309" s="84" t="s">
        <v>79</v>
      </c>
      <c r="F309" s="85" t="s">
        <v>351</v>
      </c>
      <c r="G309" s="26">
        <f t="shared" si="204"/>
        <v>627</v>
      </c>
      <c r="H309" s="32">
        <f t="shared" si="156"/>
        <v>7524</v>
      </c>
      <c r="I309" s="32">
        <v>60</v>
      </c>
      <c r="J309" s="36"/>
      <c r="K309" s="32">
        <f t="shared" si="191"/>
        <v>627</v>
      </c>
      <c r="L309" s="32">
        <v>300</v>
      </c>
      <c r="M309" s="37"/>
      <c r="N309" s="24">
        <v>125</v>
      </c>
      <c r="O309" s="24"/>
      <c r="P309" s="12">
        <f t="shared" si="178"/>
        <v>631.70249999999999</v>
      </c>
      <c r="Q309" s="40"/>
      <c r="R309" s="12">
        <f>P309/13</f>
        <v>48.592500000000001</v>
      </c>
      <c r="S309" s="12"/>
      <c r="T309" s="12"/>
      <c r="U309" s="12">
        <f>G309*0.075*13</f>
        <v>611.32499999999993</v>
      </c>
      <c r="V309" s="12">
        <f t="shared" si="158"/>
        <v>47.024999999999991</v>
      </c>
      <c r="W309" s="12"/>
      <c r="X309" s="12"/>
      <c r="Y309" s="12">
        <f t="shared" si="203"/>
        <v>1243.0274999999999</v>
      </c>
      <c r="Z309" s="12">
        <f>G309*0.01*13</f>
        <v>81.510000000000005</v>
      </c>
      <c r="AA309" s="12">
        <f t="shared" si="181"/>
        <v>6.2700000000000005</v>
      </c>
      <c r="AB309" s="12">
        <f>G309/30/7*1.5*45</f>
        <v>201.53571428571425</v>
      </c>
      <c r="AC309" s="12"/>
      <c r="AD309" s="12"/>
      <c r="AE309" s="12">
        <f t="shared" si="186"/>
        <v>15.619017857142854</v>
      </c>
      <c r="AF309" s="12"/>
      <c r="AG309" s="12">
        <f t="shared" si="159"/>
        <v>15.115178571428569</v>
      </c>
      <c r="AH309" s="12"/>
      <c r="AI309" s="12">
        <f t="shared" si="202"/>
        <v>30.744196428571424</v>
      </c>
      <c r="AJ309" s="12">
        <f t="shared" si="160"/>
        <v>2.0153571428571424</v>
      </c>
      <c r="AK309" s="37"/>
      <c r="AL309" s="37"/>
      <c r="AM309" s="12"/>
      <c r="AN309" s="12"/>
      <c r="AO309" s="12"/>
      <c r="AP309" s="37"/>
      <c r="AQ309" s="37"/>
    </row>
    <row r="310" spans="1:43" ht="24.75">
      <c r="A310" s="21">
        <f t="shared" si="184"/>
        <v>253</v>
      </c>
      <c r="B310" s="27" t="s">
        <v>535</v>
      </c>
      <c r="C310" s="56" t="s">
        <v>527</v>
      </c>
      <c r="D310" s="83" t="s">
        <v>452</v>
      </c>
      <c r="E310" s="84" t="s">
        <v>79</v>
      </c>
      <c r="F310" s="85" t="s">
        <v>351</v>
      </c>
      <c r="G310" s="26">
        <f>547+30+50</f>
        <v>627</v>
      </c>
      <c r="H310" s="32">
        <f>G310*12</f>
        <v>7524</v>
      </c>
      <c r="I310" s="32">
        <v>60</v>
      </c>
      <c r="J310" s="36"/>
      <c r="K310" s="32">
        <f>G310</f>
        <v>627</v>
      </c>
      <c r="L310" s="32">
        <v>300</v>
      </c>
      <c r="M310" s="37"/>
      <c r="N310" s="24">
        <v>125</v>
      </c>
      <c r="O310" s="24"/>
      <c r="P310" s="12">
        <f>G310*0.0775*13</f>
        <v>631.70249999999999</v>
      </c>
      <c r="Q310" s="9">
        <f>P310/13</f>
        <v>48.592500000000001</v>
      </c>
      <c r="R310" s="12"/>
      <c r="S310" s="12"/>
      <c r="T310" s="12"/>
      <c r="U310" s="12">
        <f>G310*0.075*13</f>
        <v>611.32499999999993</v>
      </c>
      <c r="V310" s="12">
        <f>U310/13</f>
        <v>47.024999999999991</v>
      </c>
      <c r="W310" s="12"/>
      <c r="X310" s="12"/>
      <c r="Y310" s="12">
        <f>P310+S310+U310+W310</f>
        <v>1243.0274999999999</v>
      </c>
      <c r="Z310" s="12">
        <f>G310*0.01*13</f>
        <v>81.510000000000005</v>
      </c>
      <c r="AA310" s="12">
        <f>Z310/13</f>
        <v>6.2700000000000005</v>
      </c>
      <c r="AB310" s="12">
        <f>G310/30/7*1.5*45</f>
        <v>201.53571428571425</v>
      </c>
      <c r="AC310" s="12"/>
      <c r="AD310" s="12"/>
      <c r="AE310" s="12">
        <f>AB310*0.0775</f>
        <v>15.619017857142854</v>
      </c>
      <c r="AF310" s="12"/>
      <c r="AG310" s="12">
        <f>AB310*0.075</f>
        <v>15.115178571428569</v>
      </c>
      <c r="AH310" s="12"/>
      <c r="AI310" s="12">
        <f>AE310+AF310+AG310+AH310+0.01</f>
        <v>30.744196428571424</v>
      </c>
      <c r="AJ310" s="12">
        <f>AB310*0.01</f>
        <v>2.0153571428571424</v>
      </c>
      <c r="AK310" s="37"/>
      <c r="AL310" s="37"/>
      <c r="AM310" s="12"/>
      <c r="AN310" s="12"/>
      <c r="AO310" s="12"/>
      <c r="AP310" s="37"/>
      <c r="AQ310" s="37"/>
    </row>
    <row r="311" spans="1:43" ht="24.75">
      <c r="A311" s="21">
        <f t="shared" si="184"/>
        <v>254</v>
      </c>
      <c r="B311" s="125"/>
      <c r="C311" s="56" t="s">
        <v>536</v>
      </c>
      <c r="D311" s="83" t="s">
        <v>452</v>
      </c>
      <c r="E311" s="84" t="s">
        <v>79</v>
      </c>
      <c r="F311" s="85" t="s">
        <v>351</v>
      </c>
      <c r="G311" s="26">
        <f t="shared" ref="G311:G316" si="205">467+30+50</f>
        <v>547</v>
      </c>
      <c r="H311" s="32">
        <f t="shared" si="156"/>
        <v>6564</v>
      </c>
      <c r="I311" s="32">
        <v>60</v>
      </c>
      <c r="J311" s="36"/>
      <c r="K311" s="32">
        <f t="shared" si="191"/>
        <v>547</v>
      </c>
      <c r="L311" s="32">
        <v>300</v>
      </c>
      <c r="M311" s="37"/>
      <c r="N311" s="24">
        <v>125</v>
      </c>
      <c r="O311" s="24"/>
      <c r="P311" s="12">
        <f t="shared" si="178"/>
        <v>551.10249999999996</v>
      </c>
      <c r="Q311" s="9">
        <f>P311/13</f>
        <v>42.392499999999998</v>
      </c>
      <c r="R311" s="12"/>
      <c r="S311" s="12"/>
      <c r="T311" s="12"/>
      <c r="U311" s="12">
        <f t="shared" si="198"/>
        <v>533.32499999999993</v>
      </c>
      <c r="V311" s="12">
        <f t="shared" si="158"/>
        <v>41.024999999999991</v>
      </c>
      <c r="W311" s="12"/>
      <c r="X311" s="12"/>
      <c r="Y311" s="12">
        <f t="shared" si="203"/>
        <v>1084.4274999999998</v>
      </c>
      <c r="Z311" s="12">
        <f t="shared" si="199"/>
        <v>71.11</v>
      </c>
      <c r="AA311" s="12">
        <f t="shared" si="181"/>
        <v>5.47</v>
      </c>
      <c r="AB311" s="12">
        <f t="shared" si="182"/>
        <v>175.82142857142858</v>
      </c>
      <c r="AC311" s="12">
        <v>113.43</v>
      </c>
      <c r="AD311" s="12">
        <f>AB311-AC311</f>
        <v>62.391428571428577</v>
      </c>
      <c r="AE311" s="12">
        <f t="shared" si="186"/>
        <v>13.626160714285716</v>
      </c>
      <c r="AF311" s="12"/>
      <c r="AG311" s="12">
        <f t="shared" si="159"/>
        <v>13.186607142857143</v>
      </c>
      <c r="AH311" s="12"/>
      <c r="AI311" s="12">
        <f>AE311+AF311+AG311+AH311+0.01</f>
        <v>26.82276785714286</v>
      </c>
      <c r="AJ311" s="12">
        <f t="shared" si="160"/>
        <v>1.758214285714286</v>
      </c>
      <c r="AK311" s="37"/>
      <c r="AL311" s="37"/>
      <c r="AM311" s="12"/>
      <c r="AN311" s="12"/>
      <c r="AO311" s="12"/>
      <c r="AP311" s="37"/>
      <c r="AQ311" s="37"/>
    </row>
    <row r="312" spans="1:43" ht="24.75">
      <c r="A312" s="21">
        <f t="shared" si="184"/>
        <v>255</v>
      </c>
      <c r="B312" s="27" t="s">
        <v>537</v>
      </c>
      <c r="C312" s="56" t="s">
        <v>536</v>
      </c>
      <c r="D312" s="83" t="s">
        <v>452</v>
      </c>
      <c r="E312" s="84" t="s">
        <v>79</v>
      </c>
      <c r="F312" s="85" t="s">
        <v>351</v>
      </c>
      <c r="G312" s="26">
        <f t="shared" si="205"/>
        <v>547</v>
      </c>
      <c r="H312" s="32">
        <f t="shared" si="156"/>
        <v>6564</v>
      </c>
      <c r="I312" s="32">
        <v>60</v>
      </c>
      <c r="J312" s="36"/>
      <c r="K312" s="32">
        <f t="shared" si="191"/>
        <v>547</v>
      </c>
      <c r="L312" s="32">
        <v>300</v>
      </c>
      <c r="M312" s="37"/>
      <c r="N312" s="24">
        <v>125</v>
      </c>
      <c r="O312" s="24"/>
      <c r="P312" s="12">
        <f t="shared" si="178"/>
        <v>551.10249999999996</v>
      </c>
      <c r="Q312" s="9"/>
      <c r="R312" s="12">
        <f>P312/13</f>
        <v>42.392499999999998</v>
      </c>
      <c r="S312" s="12"/>
      <c r="T312" s="12"/>
      <c r="U312" s="12">
        <f t="shared" si="198"/>
        <v>533.32499999999993</v>
      </c>
      <c r="V312" s="12">
        <f t="shared" si="158"/>
        <v>41.024999999999991</v>
      </c>
      <c r="W312" s="12"/>
      <c r="X312" s="12"/>
      <c r="Y312" s="12">
        <f t="shared" si="203"/>
        <v>1084.4274999999998</v>
      </c>
      <c r="Z312" s="12">
        <f t="shared" si="199"/>
        <v>71.11</v>
      </c>
      <c r="AA312" s="12">
        <f t="shared" si="181"/>
        <v>5.47</v>
      </c>
      <c r="AB312" s="12">
        <f t="shared" si="182"/>
        <v>175.82142857142858</v>
      </c>
      <c r="AC312" s="12"/>
      <c r="AD312" s="12"/>
      <c r="AE312" s="12">
        <f t="shared" si="186"/>
        <v>13.626160714285716</v>
      </c>
      <c r="AF312" s="12"/>
      <c r="AG312" s="12">
        <f t="shared" si="159"/>
        <v>13.186607142857143</v>
      </c>
      <c r="AH312" s="12"/>
      <c r="AI312" s="12">
        <f t="shared" ref="AI312:AI316" si="206">AE312+AF312+AG312+AH312+0.01</f>
        <v>26.82276785714286</v>
      </c>
      <c r="AJ312" s="12">
        <f t="shared" si="160"/>
        <v>1.758214285714286</v>
      </c>
      <c r="AK312" s="37"/>
      <c r="AL312" s="37"/>
      <c r="AM312" s="12"/>
      <c r="AN312" s="12"/>
      <c r="AO312" s="12"/>
      <c r="AP312" s="37"/>
      <c r="AQ312" s="37"/>
    </row>
    <row r="313" spans="1:43" ht="24.75">
      <c r="A313" s="21">
        <f t="shared" si="184"/>
        <v>256</v>
      </c>
      <c r="B313" s="27" t="s">
        <v>538</v>
      </c>
      <c r="C313" s="56" t="s">
        <v>536</v>
      </c>
      <c r="D313" s="83" t="s">
        <v>452</v>
      </c>
      <c r="E313" s="84" t="s">
        <v>79</v>
      </c>
      <c r="F313" s="85" t="s">
        <v>351</v>
      </c>
      <c r="G313" s="26">
        <f t="shared" si="205"/>
        <v>547</v>
      </c>
      <c r="H313" s="32">
        <f t="shared" ref="H313:H322" si="207">G313*12</f>
        <v>6564</v>
      </c>
      <c r="I313" s="32">
        <v>60</v>
      </c>
      <c r="J313" s="36"/>
      <c r="K313" s="32">
        <f t="shared" si="191"/>
        <v>547</v>
      </c>
      <c r="L313" s="32">
        <v>300</v>
      </c>
      <c r="M313" s="37"/>
      <c r="N313" s="24">
        <v>125</v>
      </c>
      <c r="O313" s="24"/>
      <c r="P313" s="12">
        <f t="shared" si="178"/>
        <v>551.10249999999996</v>
      </c>
      <c r="Q313" s="40"/>
      <c r="R313" s="12">
        <f>P313/13</f>
        <v>42.392499999999998</v>
      </c>
      <c r="S313" s="12"/>
      <c r="T313" s="12"/>
      <c r="U313" s="12">
        <f t="shared" si="198"/>
        <v>533.32499999999993</v>
      </c>
      <c r="V313" s="12">
        <f t="shared" si="158"/>
        <v>41.024999999999991</v>
      </c>
      <c r="W313" s="12"/>
      <c r="X313" s="12"/>
      <c r="Y313" s="12">
        <f t="shared" si="203"/>
        <v>1084.4274999999998</v>
      </c>
      <c r="Z313" s="12">
        <f t="shared" si="199"/>
        <v>71.11</v>
      </c>
      <c r="AA313" s="12">
        <f t="shared" si="181"/>
        <v>5.47</v>
      </c>
      <c r="AB313" s="12">
        <f>G313/30/7*1.5*45</f>
        <v>175.82142857142858</v>
      </c>
      <c r="AC313" s="12"/>
      <c r="AD313" s="12"/>
      <c r="AE313" s="12">
        <f t="shared" si="186"/>
        <v>13.626160714285716</v>
      </c>
      <c r="AF313" s="12"/>
      <c r="AG313" s="12">
        <f>AB313*0.075</f>
        <v>13.186607142857143</v>
      </c>
      <c r="AH313" s="12"/>
      <c r="AI313" s="12">
        <f t="shared" si="206"/>
        <v>26.82276785714286</v>
      </c>
      <c r="AJ313" s="12">
        <f>AB313*0.01</f>
        <v>1.758214285714286</v>
      </c>
      <c r="AK313" s="38"/>
      <c r="AL313" s="38"/>
      <c r="AM313" s="12"/>
      <c r="AN313" s="12"/>
      <c r="AO313" s="12"/>
      <c r="AP313" s="38"/>
      <c r="AQ313" s="37"/>
    </row>
    <row r="314" spans="1:43" ht="24.75">
      <c r="A314" s="21">
        <f>A313+1</f>
        <v>257</v>
      </c>
      <c r="B314" s="27" t="s">
        <v>539</v>
      </c>
      <c r="C314" s="56" t="s">
        <v>536</v>
      </c>
      <c r="D314" s="83" t="s">
        <v>452</v>
      </c>
      <c r="E314" s="84" t="s">
        <v>79</v>
      </c>
      <c r="F314" s="85" t="s">
        <v>351</v>
      </c>
      <c r="G314" s="26">
        <f t="shared" si="205"/>
        <v>547</v>
      </c>
      <c r="H314" s="32">
        <f>G314*12</f>
        <v>6564</v>
      </c>
      <c r="I314" s="32">
        <v>60</v>
      </c>
      <c r="J314" s="36"/>
      <c r="K314" s="32">
        <f>G314</f>
        <v>547</v>
      </c>
      <c r="L314" s="32">
        <v>300</v>
      </c>
      <c r="M314" s="37"/>
      <c r="N314" s="24">
        <v>125</v>
      </c>
      <c r="O314" s="24"/>
      <c r="P314" s="12">
        <f>G314*0.0775*13</f>
        <v>551.10249999999996</v>
      </c>
      <c r="Q314" s="9">
        <f>P314/13</f>
        <v>42.392499999999998</v>
      </c>
      <c r="R314" s="12"/>
      <c r="S314" s="12"/>
      <c r="T314" s="12"/>
      <c r="U314" s="12">
        <f>G314*0.075*13</f>
        <v>533.32499999999993</v>
      </c>
      <c r="V314" s="12">
        <f>U314/13</f>
        <v>41.024999999999991</v>
      </c>
      <c r="W314" s="12"/>
      <c r="X314" s="12"/>
      <c r="Y314" s="12">
        <f t="shared" si="203"/>
        <v>1084.4274999999998</v>
      </c>
      <c r="Z314" s="12">
        <f>G314*0.01*13</f>
        <v>71.11</v>
      </c>
      <c r="AA314" s="12">
        <f>Z314/13</f>
        <v>5.47</v>
      </c>
      <c r="AB314" s="12">
        <f>G314/30/7*1.5*45</f>
        <v>175.82142857142858</v>
      </c>
      <c r="AC314" s="12">
        <v>113.43</v>
      </c>
      <c r="AD314" s="12">
        <f>AB314-AC314</f>
        <v>62.391428571428577</v>
      </c>
      <c r="AE314" s="12">
        <f>AB314*0.0775</f>
        <v>13.626160714285716</v>
      </c>
      <c r="AF314" s="12"/>
      <c r="AG314" s="12">
        <f>AB314*0.075</f>
        <v>13.186607142857143</v>
      </c>
      <c r="AH314" s="12"/>
      <c r="AI314" s="12">
        <f t="shared" si="206"/>
        <v>26.82276785714286</v>
      </c>
      <c r="AJ314" s="12">
        <f>AB314*0.01</f>
        <v>1.758214285714286</v>
      </c>
      <c r="AK314" s="37"/>
      <c r="AL314" s="37"/>
      <c r="AM314" s="12"/>
      <c r="AN314" s="12"/>
      <c r="AO314" s="12"/>
      <c r="AP314" s="37"/>
      <c r="AQ314" s="37"/>
    </row>
    <row r="315" spans="1:43" ht="24.75">
      <c r="A315" s="21">
        <f>A314+1</f>
        <v>258</v>
      </c>
      <c r="B315" s="27" t="s">
        <v>540</v>
      </c>
      <c r="C315" s="56" t="s">
        <v>536</v>
      </c>
      <c r="D315" s="83" t="s">
        <v>452</v>
      </c>
      <c r="E315" s="84" t="s">
        <v>79</v>
      </c>
      <c r="F315" s="85" t="s">
        <v>351</v>
      </c>
      <c r="G315" s="26">
        <f t="shared" si="205"/>
        <v>547</v>
      </c>
      <c r="H315" s="32">
        <f>G315*12</f>
        <v>6564</v>
      </c>
      <c r="I315" s="32">
        <v>60</v>
      </c>
      <c r="J315" s="36"/>
      <c r="K315" s="32">
        <f>G315</f>
        <v>547</v>
      </c>
      <c r="L315" s="32">
        <v>300</v>
      </c>
      <c r="M315" s="37"/>
      <c r="N315" s="24">
        <v>125</v>
      </c>
      <c r="O315" s="24"/>
      <c r="P315" s="12">
        <f>G315*0.0775*13</f>
        <v>551.10249999999996</v>
      </c>
      <c r="Q315" s="40"/>
      <c r="R315" s="12">
        <f>P315/13</f>
        <v>42.392499999999998</v>
      </c>
      <c r="S315" s="12"/>
      <c r="T315" s="12"/>
      <c r="U315" s="12">
        <f>G315*0.075*13</f>
        <v>533.32499999999993</v>
      </c>
      <c r="V315" s="12">
        <f>U315/13</f>
        <v>41.024999999999991</v>
      </c>
      <c r="W315" s="12"/>
      <c r="X315" s="12"/>
      <c r="Y315" s="12">
        <f t="shared" si="203"/>
        <v>1084.4274999999998</v>
      </c>
      <c r="Z315" s="12">
        <f>G315*0.01*13</f>
        <v>71.11</v>
      </c>
      <c r="AA315" s="12">
        <f>Z315/13</f>
        <v>5.47</v>
      </c>
      <c r="AB315" s="12">
        <f>G315/30/7*1.5*45</f>
        <v>175.82142857142858</v>
      </c>
      <c r="AC315" s="12">
        <v>113.43</v>
      </c>
      <c r="AD315" s="12">
        <f>AB315-AC315</f>
        <v>62.391428571428577</v>
      </c>
      <c r="AE315" s="12">
        <f>AB315*0.0775</f>
        <v>13.626160714285716</v>
      </c>
      <c r="AF315" s="12"/>
      <c r="AG315" s="12">
        <f>AB315*0.075</f>
        <v>13.186607142857143</v>
      </c>
      <c r="AH315" s="12"/>
      <c r="AI315" s="12">
        <f t="shared" si="206"/>
        <v>26.82276785714286</v>
      </c>
      <c r="AJ315" s="12">
        <f>AB315*0.01</f>
        <v>1.758214285714286</v>
      </c>
      <c r="AK315" s="37"/>
      <c r="AL315" s="37"/>
      <c r="AM315" s="12"/>
      <c r="AN315" s="12"/>
      <c r="AO315" s="12"/>
      <c r="AP315" s="37"/>
      <c r="AQ315" s="37"/>
    </row>
    <row r="316" spans="1:43" ht="24.75">
      <c r="A316" s="21">
        <f t="shared" si="184"/>
        <v>259</v>
      </c>
      <c r="B316" s="27" t="s">
        <v>541</v>
      </c>
      <c r="C316" s="56" t="s">
        <v>536</v>
      </c>
      <c r="D316" s="83" t="s">
        <v>452</v>
      </c>
      <c r="E316" s="84" t="s">
        <v>79</v>
      </c>
      <c r="F316" s="85" t="s">
        <v>351</v>
      </c>
      <c r="G316" s="26">
        <f t="shared" si="205"/>
        <v>547</v>
      </c>
      <c r="H316" s="32">
        <f>G316*12</f>
        <v>6564</v>
      </c>
      <c r="I316" s="32">
        <v>60</v>
      </c>
      <c r="J316" s="36"/>
      <c r="K316" s="32">
        <f>G316</f>
        <v>547</v>
      </c>
      <c r="L316" s="32">
        <v>300</v>
      </c>
      <c r="M316" s="37"/>
      <c r="N316" s="24">
        <v>125</v>
      </c>
      <c r="O316" s="24"/>
      <c r="P316" s="12">
        <f>G316*0.0775*13</f>
        <v>551.10249999999996</v>
      </c>
      <c r="Q316" s="40"/>
      <c r="R316" s="12">
        <f>P316/13</f>
        <v>42.392499999999998</v>
      </c>
      <c r="S316" s="12"/>
      <c r="T316" s="12"/>
      <c r="U316" s="12">
        <f>G316*0.075*13</f>
        <v>533.32499999999993</v>
      </c>
      <c r="V316" s="12">
        <f>U316/13</f>
        <v>41.024999999999991</v>
      </c>
      <c r="W316" s="12"/>
      <c r="X316" s="12"/>
      <c r="Y316" s="12">
        <f t="shared" si="203"/>
        <v>1084.4274999999998</v>
      </c>
      <c r="Z316" s="12">
        <f>G316*0.01*13</f>
        <v>71.11</v>
      </c>
      <c r="AA316" s="12">
        <f>Z316/13</f>
        <v>5.47</v>
      </c>
      <c r="AB316" s="12">
        <f>G316/30/7*1.5*45</f>
        <v>175.82142857142858</v>
      </c>
      <c r="AC316" s="12">
        <v>113.43</v>
      </c>
      <c r="AD316" s="12">
        <f>AB316-AC316</f>
        <v>62.391428571428577</v>
      </c>
      <c r="AE316" s="12">
        <f>AB316*0.0775</f>
        <v>13.626160714285716</v>
      </c>
      <c r="AF316" s="12"/>
      <c r="AG316" s="12">
        <f>AB316*0.075</f>
        <v>13.186607142857143</v>
      </c>
      <c r="AH316" s="12"/>
      <c r="AI316" s="12">
        <f t="shared" si="206"/>
        <v>26.82276785714286</v>
      </c>
      <c r="AJ316" s="12">
        <f>AB316*0.01</f>
        <v>1.758214285714286</v>
      </c>
      <c r="AK316" s="38"/>
      <c r="AL316" s="38"/>
      <c r="AM316" s="12"/>
      <c r="AN316" s="12"/>
      <c r="AO316" s="12"/>
      <c r="AP316" s="37"/>
      <c r="AQ316" s="37"/>
    </row>
    <row r="317" spans="1:43" ht="24.75">
      <c r="A317" s="21">
        <f>A316+1</f>
        <v>260</v>
      </c>
      <c r="B317" s="109" t="s">
        <v>618</v>
      </c>
      <c r="C317" s="56" t="s">
        <v>542</v>
      </c>
      <c r="D317" s="83" t="s">
        <v>452</v>
      </c>
      <c r="E317" s="84" t="s">
        <v>79</v>
      </c>
      <c r="F317" s="85" t="s">
        <v>351</v>
      </c>
      <c r="G317" s="26">
        <f>417+50</f>
        <v>467</v>
      </c>
      <c r="H317" s="32">
        <f t="shared" si="207"/>
        <v>5604</v>
      </c>
      <c r="I317" s="32">
        <v>60</v>
      </c>
      <c r="J317" s="36"/>
      <c r="K317" s="32">
        <f t="shared" si="191"/>
        <v>467</v>
      </c>
      <c r="L317" s="32">
        <v>300</v>
      </c>
      <c r="M317" s="37"/>
      <c r="N317" s="24">
        <v>125</v>
      </c>
      <c r="O317" s="24"/>
      <c r="P317" s="12">
        <f t="shared" si="178"/>
        <v>470.50250000000005</v>
      </c>
      <c r="Q317" s="9">
        <f>P317/13</f>
        <v>36.192500000000003</v>
      </c>
      <c r="R317" s="12"/>
      <c r="S317" s="12"/>
      <c r="T317" s="12"/>
      <c r="U317" s="12">
        <f t="shared" si="198"/>
        <v>455.32499999999999</v>
      </c>
      <c r="V317" s="12">
        <f t="shared" si="158"/>
        <v>35.024999999999999</v>
      </c>
      <c r="W317" s="12"/>
      <c r="X317" s="12"/>
      <c r="Y317" s="12">
        <f t="shared" si="203"/>
        <v>925.8275000000001</v>
      </c>
      <c r="Z317" s="12">
        <f t="shared" si="199"/>
        <v>60.71</v>
      </c>
      <c r="AA317" s="12">
        <f t="shared" si="181"/>
        <v>4.67</v>
      </c>
      <c r="AB317" s="12">
        <f t="shared" si="182"/>
        <v>150.10714285714286</v>
      </c>
      <c r="AC317" s="12"/>
      <c r="AD317" s="12"/>
      <c r="AE317" s="12">
        <f t="shared" si="186"/>
        <v>11.633303571428572</v>
      </c>
      <c r="AF317" s="12"/>
      <c r="AG317" s="12">
        <f t="shared" ref="AG317:AG324" si="208">AB317*0.075</f>
        <v>11.258035714285715</v>
      </c>
      <c r="AH317" s="12"/>
      <c r="AI317" s="12">
        <f t="shared" ref="AI317:AI323" si="209">AE317+AF317+AG317+AH317</f>
        <v>22.891339285714288</v>
      </c>
      <c r="AJ317" s="12">
        <f t="shared" ref="AJ317:AJ324" si="210">AB317*0.01</f>
        <v>1.5010714285714286</v>
      </c>
      <c r="AK317" s="37"/>
      <c r="AL317" s="37"/>
      <c r="AM317" s="12"/>
      <c r="AN317" s="12"/>
      <c r="AO317" s="12"/>
      <c r="AP317" s="37"/>
      <c r="AQ317" s="37"/>
    </row>
    <row r="318" spans="1:43" ht="24.75">
      <c r="A318" s="21">
        <f>A317+1</f>
        <v>261</v>
      </c>
      <c r="B318" s="27" t="s">
        <v>543</v>
      </c>
      <c r="C318" s="56" t="s">
        <v>542</v>
      </c>
      <c r="D318" s="83" t="s">
        <v>452</v>
      </c>
      <c r="E318" s="84" t="s">
        <v>79</v>
      </c>
      <c r="F318" s="85" t="s">
        <v>351</v>
      </c>
      <c r="G318" s="26">
        <f>417+50</f>
        <v>467</v>
      </c>
      <c r="H318" s="32">
        <f t="shared" si="207"/>
        <v>5604</v>
      </c>
      <c r="I318" s="32">
        <v>60</v>
      </c>
      <c r="J318" s="36"/>
      <c r="K318" s="32">
        <f t="shared" si="191"/>
        <v>467</v>
      </c>
      <c r="L318" s="32">
        <v>300</v>
      </c>
      <c r="M318" s="37"/>
      <c r="N318" s="24">
        <v>125</v>
      </c>
      <c r="O318" s="24"/>
      <c r="P318" s="12">
        <f t="shared" si="178"/>
        <v>470.50250000000005</v>
      </c>
      <c r="Q318" s="12"/>
      <c r="R318" s="12">
        <f>P318/13</f>
        <v>36.192500000000003</v>
      </c>
      <c r="S318" s="12"/>
      <c r="T318" s="12"/>
      <c r="U318" s="12">
        <f t="shared" si="198"/>
        <v>455.32499999999999</v>
      </c>
      <c r="V318" s="12">
        <f t="shared" ref="V318:V325" si="211">U318/13</f>
        <v>35.024999999999999</v>
      </c>
      <c r="W318" s="12"/>
      <c r="X318" s="12"/>
      <c r="Y318" s="12">
        <f t="shared" si="203"/>
        <v>925.8275000000001</v>
      </c>
      <c r="Z318" s="12">
        <f t="shared" si="199"/>
        <v>60.71</v>
      </c>
      <c r="AA318" s="12">
        <f t="shared" si="181"/>
        <v>4.67</v>
      </c>
      <c r="AB318" s="12">
        <f t="shared" si="182"/>
        <v>150.10714285714286</v>
      </c>
      <c r="AC318" s="12"/>
      <c r="AD318" s="12"/>
      <c r="AE318" s="12">
        <f t="shared" si="186"/>
        <v>11.633303571428572</v>
      </c>
      <c r="AF318" s="12"/>
      <c r="AG318" s="12">
        <f t="shared" si="208"/>
        <v>11.258035714285715</v>
      </c>
      <c r="AH318" s="12"/>
      <c r="AI318" s="12">
        <f t="shared" si="209"/>
        <v>22.891339285714288</v>
      </c>
      <c r="AJ318" s="12">
        <f t="shared" si="210"/>
        <v>1.5010714285714286</v>
      </c>
      <c r="AK318" s="37"/>
      <c r="AL318" s="37"/>
      <c r="AM318" s="12"/>
      <c r="AN318" s="12"/>
      <c r="AO318" s="12"/>
      <c r="AP318" s="37"/>
      <c r="AQ318" s="37"/>
    </row>
    <row r="319" spans="1:43" ht="24.75">
      <c r="A319" s="21">
        <f t="shared" si="184"/>
        <v>262</v>
      </c>
      <c r="B319" s="27" t="s">
        <v>544</v>
      </c>
      <c r="C319" s="56" t="s">
        <v>542</v>
      </c>
      <c r="D319" s="83" t="s">
        <v>452</v>
      </c>
      <c r="E319" s="84" t="s">
        <v>79</v>
      </c>
      <c r="F319" s="85" t="s">
        <v>351</v>
      </c>
      <c r="G319" s="26">
        <f>417+50</f>
        <v>467</v>
      </c>
      <c r="H319" s="32">
        <f>G319*12</f>
        <v>5604</v>
      </c>
      <c r="I319" s="32">
        <v>60</v>
      </c>
      <c r="J319" s="36"/>
      <c r="K319" s="32">
        <f>G319</f>
        <v>467</v>
      </c>
      <c r="L319" s="32">
        <v>300</v>
      </c>
      <c r="M319" s="37"/>
      <c r="N319" s="24">
        <v>125</v>
      </c>
      <c r="O319" s="24"/>
      <c r="P319" s="12">
        <f>G319*0.0775*13</f>
        <v>470.50250000000005</v>
      </c>
      <c r="Q319" s="40"/>
      <c r="R319" s="12">
        <f>P319/13</f>
        <v>36.192500000000003</v>
      </c>
      <c r="S319" s="12"/>
      <c r="T319" s="12"/>
      <c r="U319" s="12">
        <f>G319*0.075*13</f>
        <v>455.32499999999999</v>
      </c>
      <c r="V319" s="12">
        <f>U319/13</f>
        <v>35.024999999999999</v>
      </c>
      <c r="W319" s="12"/>
      <c r="X319" s="12"/>
      <c r="Y319" s="12">
        <f t="shared" si="203"/>
        <v>925.8275000000001</v>
      </c>
      <c r="Z319" s="12">
        <f>G319*0.01*13</f>
        <v>60.71</v>
      </c>
      <c r="AA319" s="12">
        <f>Z319/13</f>
        <v>4.67</v>
      </c>
      <c r="AB319" s="12">
        <f>G319/30/7*1.5*45</f>
        <v>150.10714285714286</v>
      </c>
      <c r="AC319" s="12"/>
      <c r="AD319" s="12"/>
      <c r="AE319" s="12">
        <f>AB319*0.0775</f>
        <v>11.633303571428572</v>
      </c>
      <c r="AF319" s="12"/>
      <c r="AG319" s="12">
        <f>AB319*0.075</f>
        <v>11.258035714285715</v>
      </c>
      <c r="AH319" s="12"/>
      <c r="AI319" s="12">
        <f>AE319+AF319+AG319+AH319</f>
        <v>22.891339285714288</v>
      </c>
      <c r="AJ319" s="12">
        <f>AB319*0.01</f>
        <v>1.5010714285714286</v>
      </c>
      <c r="AK319" s="37"/>
      <c r="AL319" s="37"/>
      <c r="AM319" s="12"/>
      <c r="AN319" s="12"/>
      <c r="AO319" s="12"/>
      <c r="AP319" s="37"/>
      <c r="AQ319" s="37"/>
    </row>
    <row r="320" spans="1:43" ht="24.75">
      <c r="A320" s="21">
        <f t="shared" si="184"/>
        <v>263</v>
      </c>
      <c r="B320" s="27" t="s">
        <v>545</v>
      </c>
      <c r="C320" s="56" t="s">
        <v>542</v>
      </c>
      <c r="D320" s="83" t="s">
        <v>452</v>
      </c>
      <c r="E320" s="84" t="s">
        <v>79</v>
      </c>
      <c r="F320" s="85" t="s">
        <v>351</v>
      </c>
      <c r="G320" s="26">
        <f>417+50</f>
        <v>467</v>
      </c>
      <c r="H320" s="32">
        <f>G320*12</f>
        <v>5604</v>
      </c>
      <c r="I320" s="32">
        <v>60</v>
      </c>
      <c r="J320" s="36"/>
      <c r="K320" s="32">
        <f>G320</f>
        <v>467</v>
      </c>
      <c r="L320" s="32">
        <v>300</v>
      </c>
      <c r="M320" s="37"/>
      <c r="N320" s="24">
        <v>125</v>
      </c>
      <c r="O320" s="24"/>
      <c r="P320" s="12">
        <f>G320*0.0775*13</f>
        <v>470.50250000000005</v>
      </c>
      <c r="Q320" s="9"/>
      <c r="R320" s="12">
        <f>P320/13</f>
        <v>36.192500000000003</v>
      </c>
      <c r="S320" s="12"/>
      <c r="T320" s="12"/>
      <c r="U320" s="12">
        <f>G320*0.075*13</f>
        <v>455.32499999999999</v>
      </c>
      <c r="V320" s="12">
        <f>U320/13</f>
        <v>35.024999999999999</v>
      </c>
      <c r="W320" s="12"/>
      <c r="X320" s="12"/>
      <c r="Y320" s="12">
        <f t="shared" si="203"/>
        <v>925.8275000000001</v>
      </c>
      <c r="Z320" s="12">
        <f>G320*0.01*13</f>
        <v>60.71</v>
      </c>
      <c r="AA320" s="12">
        <f>Z320/13</f>
        <v>4.67</v>
      </c>
      <c r="AB320" s="12">
        <f>G320/30/7*1.5*45</f>
        <v>150.10714285714286</v>
      </c>
      <c r="AC320" s="12">
        <v>174.78</v>
      </c>
      <c r="AD320" s="12"/>
      <c r="AE320" s="12">
        <f>AB320*0.0775</f>
        <v>11.633303571428572</v>
      </c>
      <c r="AF320" s="12"/>
      <c r="AG320" s="12">
        <f>AB320*0.075</f>
        <v>11.258035714285715</v>
      </c>
      <c r="AH320" s="12"/>
      <c r="AI320" s="12">
        <f t="shared" si="209"/>
        <v>22.891339285714288</v>
      </c>
      <c r="AJ320" s="12">
        <f>AB320*0.01</f>
        <v>1.5010714285714286</v>
      </c>
      <c r="AK320" s="37"/>
      <c r="AL320" s="37"/>
      <c r="AM320" s="12"/>
      <c r="AN320" s="12"/>
      <c r="AO320" s="12"/>
      <c r="AP320" s="37"/>
      <c r="AQ320" s="37"/>
    </row>
    <row r="321" spans="1:43" ht="24.75">
      <c r="A321" s="21">
        <f t="shared" si="184"/>
        <v>264</v>
      </c>
      <c r="B321" s="120" t="s">
        <v>546</v>
      </c>
      <c r="C321" s="56" t="s">
        <v>547</v>
      </c>
      <c r="D321" s="83" t="s">
        <v>452</v>
      </c>
      <c r="E321" s="84" t="s">
        <v>79</v>
      </c>
      <c r="F321" s="85" t="s">
        <v>351</v>
      </c>
      <c r="G321" s="26">
        <f>417</f>
        <v>417</v>
      </c>
      <c r="H321" s="32">
        <f>G321*12</f>
        <v>5004</v>
      </c>
      <c r="I321" s="32">
        <v>60</v>
      </c>
      <c r="J321" s="36"/>
      <c r="K321" s="32">
        <f>G321</f>
        <v>417</v>
      </c>
      <c r="L321" s="32">
        <v>300</v>
      </c>
      <c r="M321" s="37"/>
      <c r="N321" s="24">
        <v>125</v>
      </c>
      <c r="O321" s="24"/>
      <c r="P321" s="12">
        <f>G321*0.0775*13</f>
        <v>420.12750000000005</v>
      </c>
      <c r="Q321" s="9">
        <f>P321/13</f>
        <v>32.317500000000003</v>
      </c>
      <c r="R321" s="12"/>
      <c r="S321" s="12"/>
      <c r="T321" s="12"/>
      <c r="U321" s="12">
        <f>G321*0.075*13</f>
        <v>406.57499999999999</v>
      </c>
      <c r="V321" s="12">
        <f>U321/13</f>
        <v>31.274999999999999</v>
      </c>
      <c r="W321" s="12"/>
      <c r="X321" s="12"/>
      <c r="Y321" s="12">
        <f>P321+S321+U321+W321+0.01</f>
        <v>826.71250000000009</v>
      </c>
      <c r="Z321" s="12">
        <f>G321*0.01*13</f>
        <v>54.21</v>
      </c>
      <c r="AA321" s="12">
        <f>Z321/13</f>
        <v>4.17</v>
      </c>
      <c r="AB321" s="12">
        <f>G321/30/7*1.5*45</f>
        <v>134.03571428571428</v>
      </c>
      <c r="AC321" s="12">
        <v>138.29</v>
      </c>
      <c r="AD321" s="12"/>
      <c r="AE321" s="12">
        <f>AB321*0.0775</f>
        <v>10.387767857142856</v>
      </c>
      <c r="AF321" s="12"/>
      <c r="AG321" s="12">
        <f>AB321*0.075</f>
        <v>10.05267857142857</v>
      </c>
      <c r="AH321" s="12"/>
      <c r="AI321" s="12">
        <f>AE321+AF321+AG321+AH321</f>
        <v>20.440446428571427</v>
      </c>
      <c r="AJ321" s="12">
        <f>AB321*0.01</f>
        <v>1.3403571428571428</v>
      </c>
      <c r="AK321" s="37"/>
      <c r="AL321" s="37"/>
      <c r="AM321" s="12"/>
      <c r="AN321" s="12"/>
      <c r="AO321" s="12"/>
      <c r="AP321" s="37"/>
      <c r="AQ321" s="37"/>
    </row>
    <row r="322" spans="1:43" ht="24.75">
      <c r="A322" s="21">
        <f t="shared" si="184"/>
        <v>265</v>
      </c>
      <c r="B322" s="27" t="s">
        <v>548</v>
      </c>
      <c r="C322" s="56" t="s">
        <v>549</v>
      </c>
      <c r="D322" s="83" t="s">
        <v>452</v>
      </c>
      <c r="E322" s="84" t="s">
        <v>79</v>
      </c>
      <c r="F322" s="85" t="s">
        <v>351</v>
      </c>
      <c r="G322" s="26">
        <f>547+30+50</f>
        <v>627</v>
      </c>
      <c r="H322" s="32">
        <f t="shared" si="207"/>
        <v>7524</v>
      </c>
      <c r="I322" s="32">
        <v>60</v>
      </c>
      <c r="J322" s="36"/>
      <c r="K322" s="32">
        <f t="shared" si="191"/>
        <v>627</v>
      </c>
      <c r="L322" s="32">
        <v>300</v>
      </c>
      <c r="M322" s="37"/>
      <c r="N322" s="24">
        <v>125</v>
      </c>
      <c r="O322" s="24"/>
      <c r="P322" s="12">
        <f t="shared" si="178"/>
        <v>631.70249999999999</v>
      </c>
      <c r="Q322" s="9">
        <f>P322/13</f>
        <v>48.592500000000001</v>
      </c>
      <c r="R322" s="12"/>
      <c r="S322" s="12"/>
      <c r="T322" s="12"/>
      <c r="U322" s="12">
        <f t="shared" si="198"/>
        <v>611.32499999999993</v>
      </c>
      <c r="V322" s="12">
        <f t="shared" si="211"/>
        <v>47.024999999999991</v>
      </c>
      <c r="W322" s="12"/>
      <c r="X322" s="12"/>
      <c r="Y322" s="12">
        <f t="shared" si="203"/>
        <v>1243.0274999999999</v>
      </c>
      <c r="Z322" s="12">
        <f t="shared" si="199"/>
        <v>81.510000000000005</v>
      </c>
      <c r="AA322" s="12">
        <f t="shared" si="181"/>
        <v>6.2700000000000005</v>
      </c>
      <c r="AB322" s="12">
        <f t="shared" si="182"/>
        <v>201.53571428571425</v>
      </c>
      <c r="AC322" s="12"/>
      <c r="AD322" s="12"/>
      <c r="AE322" s="12">
        <f t="shared" si="186"/>
        <v>15.619017857142854</v>
      </c>
      <c r="AF322" s="12"/>
      <c r="AG322" s="12">
        <f t="shared" si="208"/>
        <v>15.115178571428569</v>
      </c>
      <c r="AH322" s="12"/>
      <c r="AI322" s="12">
        <f>AE322+AF322+AG322+AH322+0.01</f>
        <v>30.744196428571424</v>
      </c>
      <c r="AJ322" s="12">
        <f t="shared" si="210"/>
        <v>2.0153571428571424</v>
      </c>
      <c r="AK322" s="38"/>
      <c r="AL322" s="38"/>
      <c r="AM322" s="12"/>
      <c r="AN322" s="12"/>
      <c r="AO322" s="12"/>
      <c r="AP322" s="38"/>
      <c r="AQ322" s="37"/>
    </row>
    <row r="323" spans="1:43" ht="24.75">
      <c r="A323" s="21">
        <f t="shared" si="184"/>
        <v>266</v>
      </c>
      <c r="B323" s="27" t="s">
        <v>550</v>
      </c>
      <c r="C323" s="56" t="s">
        <v>551</v>
      </c>
      <c r="D323" s="83" t="s">
        <v>452</v>
      </c>
      <c r="E323" s="84" t="s">
        <v>79</v>
      </c>
      <c r="F323" s="85" t="s">
        <v>351</v>
      </c>
      <c r="G323" s="26">
        <f>467+30+50</f>
        <v>547</v>
      </c>
      <c r="H323" s="32">
        <f>G323*12</f>
        <v>6564</v>
      </c>
      <c r="I323" s="32">
        <v>60</v>
      </c>
      <c r="J323" s="36"/>
      <c r="K323" s="32">
        <f>G323</f>
        <v>547</v>
      </c>
      <c r="L323" s="32">
        <v>300</v>
      </c>
      <c r="M323" s="37"/>
      <c r="N323" s="24">
        <v>125</v>
      </c>
      <c r="O323" s="24"/>
      <c r="P323" s="12"/>
      <c r="Q323" s="12"/>
      <c r="R323" s="12"/>
      <c r="S323" s="12"/>
      <c r="T323" s="12"/>
      <c r="U323" s="12">
        <f t="shared" si="198"/>
        <v>533.32499999999993</v>
      </c>
      <c r="V323" s="12">
        <f t="shared" si="211"/>
        <v>41.024999999999991</v>
      </c>
      <c r="W323" s="12">
        <f>G323*0.06*13</f>
        <v>426.66</v>
      </c>
      <c r="X323" s="12">
        <f>W323/12</f>
        <v>35.555</v>
      </c>
      <c r="Y323" s="12">
        <f t="shared" si="203"/>
        <v>959.9849999999999</v>
      </c>
      <c r="Z323" s="12">
        <f t="shared" si="199"/>
        <v>71.11</v>
      </c>
      <c r="AA323" s="12">
        <f t="shared" si="181"/>
        <v>5.47</v>
      </c>
      <c r="AB323" s="12">
        <f t="shared" si="182"/>
        <v>175.82142857142858</v>
      </c>
      <c r="AC323" s="12"/>
      <c r="AD323" s="12"/>
      <c r="AE323" s="12"/>
      <c r="AF323" s="12"/>
      <c r="AG323" s="12">
        <f t="shared" si="208"/>
        <v>13.186607142857143</v>
      </c>
      <c r="AH323" s="12">
        <f>AB323*0.06</f>
        <v>10.549285714285714</v>
      </c>
      <c r="AI323" s="12">
        <f t="shared" si="209"/>
        <v>23.735892857142858</v>
      </c>
      <c r="AJ323" s="12">
        <f t="shared" si="210"/>
        <v>1.758214285714286</v>
      </c>
      <c r="AK323" s="37"/>
      <c r="AL323" s="37"/>
      <c r="AM323" s="12"/>
      <c r="AN323" s="12"/>
      <c r="AO323" s="12"/>
      <c r="AP323" s="37"/>
      <c r="AQ323" s="37"/>
    </row>
    <row r="324" spans="1:43" ht="24.75">
      <c r="A324" s="21">
        <f t="shared" si="184"/>
        <v>267</v>
      </c>
      <c r="B324" s="27" t="s">
        <v>552</v>
      </c>
      <c r="C324" s="56" t="s">
        <v>551</v>
      </c>
      <c r="D324" s="83" t="s">
        <v>452</v>
      </c>
      <c r="E324" s="84" t="s">
        <v>79</v>
      </c>
      <c r="F324" s="85" t="s">
        <v>351</v>
      </c>
      <c r="G324" s="26">
        <f>467+30+50</f>
        <v>547</v>
      </c>
      <c r="H324" s="32">
        <f>G324*12</f>
        <v>6564</v>
      </c>
      <c r="I324" s="32">
        <v>60</v>
      </c>
      <c r="J324" s="36"/>
      <c r="K324" s="32">
        <f>G324</f>
        <v>547</v>
      </c>
      <c r="L324" s="32">
        <v>300</v>
      </c>
      <c r="M324" s="37"/>
      <c r="N324" s="24">
        <v>125</v>
      </c>
      <c r="O324" s="24"/>
      <c r="P324" s="12">
        <f t="shared" si="178"/>
        <v>551.10249999999996</v>
      </c>
      <c r="Q324" s="12"/>
      <c r="R324" s="12">
        <f>P324/13</f>
        <v>42.392499999999998</v>
      </c>
      <c r="S324" s="12"/>
      <c r="T324" s="12"/>
      <c r="U324" s="12">
        <f t="shared" si="198"/>
        <v>533.32499999999993</v>
      </c>
      <c r="V324" s="12">
        <f t="shared" si="211"/>
        <v>41.024999999999991</v>
      </c>
      <c r="W324" s="12"/>
      <c r="X324" s="12"/>
      <c r="Y324" s="12">
        <f t="shared" si="203"/>
        <v>1084.4274999999998</v>
      </c>
      <c r="Z324" s="12">
        <f t="shared" si="199"/>
        <v>71.11</v>
      </c>
      <c r="AA324" s="12">
        <f t="shared" si="181"/>
        <v>5.47</v>
      </c>
      <c r="AB324" s="12">
        <f>G324/30/7*1.5*45</f>
        <v>175.82142857142858</v>
      </c>
      <c r="AC324" s="12"/>
      <c r="AD324" s="12"/>
      <c r="AE324" s="12">
        <f>AB324*0.0775</f>
        <v>13.626160714285716</v>
      </c>
      <c r="AF324" s="12"/>
      <c r="AG324" s="12">
        <f t="shared" si="208"/>
        <v>13.186607142857143</v>
      </c>
      <c r="AH324" s="12"/>
      <c r="AI324" s="12">
        <f>AE324+AF324+AG324+AH324+0.01</f>
        <v>26.82276785714286</v>
      </c>
      <c r="AJ324" s="12">
        <f t="shared" si="210"/>
        <v>1.758214285714286</v>
      </c>
      <c r="AK324" s="37"/>
      <c r="AL324" s="37"/>
      <c r="AM324" s="12"/>
      <c r="AN324" s="12"/>
      <c r="AO324" s="12"/>
      <c r="AP324" s="37"/>
      <c r="AQ324" s="37"/>
    </row>
    <row r="325" spans="1:43" ht="24.75">
      <c r="A325" s="21">
        <f t="shared" si="184"/>
        <v>268</v>
      </c>
      <c r="B325" s="27" t="s">
        <v>553</v>
      </c>
      <c r="C325" s="56" t="s">
        <v>554</v>
      </c>
      <c r="D325" s="83" t="s">
        <v>452</v>
      </c>
      <c r="E325" s="84" t="s">
        <v>79</v>
      </c>
      <c r="F325" s="85" t="s">
        <v>351</v>
      </c>
      <c r="G325" s="26">
        <f>417+30+50</f>
        <v>497</v>
      </c>
      <c r="H325" s="32">
        <f>G325*12</f>
        <v>5964</v>
      </c>
      <c r="I325" s="32">
        <v>60</v>
      </c>
      <c r="J325" s="36"/>
      <c r="K325" s="32">
        <f>G325</f>
        <v>497</v>
      </c>
      <c r="L325" s="32">
        <v>300</v>
      </c>
      <c r="M325" s="37"/>
      <c r="N325" s="24">
        <v>125</v>
      </c>
      <c r="O325" s="24"/>
      <c r="P325" s="12">
        <f t="shared" si="178"/>
        <v>500.72749999999996</v>
      </c>
      <c r="Q325" s="9">
        <f>P325/13</f>
        <v>38.517499999999998</v>
      </c>
      <c r="S325" s="12"/>
      <c r="T325" s="12"/>
      <c r="U325" s="12">
        <f>G325*0.075*13</f>
        <v>484.57499999999999</v>
      </c>
      <c r="V325" s="12">
        <f t="shared" si="211"/>
        <v>37.274999999999999</v>
      </c>
      <c r="W325" s="12"/>
      <c r="X325" s="12"/>
      <c r="Y325" s="12">
        <f>P325+S325+U325+W325+0.01</f>
        <v>985.3125</v>
      </c>
      <c r="Z325" s="12">
        <f>G325*0.01*13</f>
        <v>64.61</v>
      </c>
      <c r="AA325" s="12">
        <f t="shared" si="181"/>
        <v>4.97</v>
      </c>
      <c r="AB325" s="12">
        <f>G325/30/7*1.5*45</f>
        <v>159.75</v>
      </c>
      <c r="AC325" s="12"/>
      <c r="AD325" s="12"/>
      <c r="AE325" s="12">
        <f>AB325*0.0775</f>
        <v>12.380625</v>
      </c>
      <c r="AF325" s="12"/>
      <c r="AG325" s="12">
        <f>AB325*0.075</f>
        <v>11.981249999999999</v>
      </c>
      <c r="AH325" s="12"/>
      <c r="AI325" s="12">
        <f>AE325+AF325+AG325+AH325</f>
        <v>24.361874999999998</v>
      </c>
      <c r="AJ325" s="12">
        <f>AB325*0.01</f>
        <v>1.5975000000000001</v>
      </c>
      <c r="AK325" s="37"/>
      <c r="AL325" s="37"/>
      <c r="AM325" s="12"/>
      <c r="AN325" s="12"/>
      <c r="AO325" s="12"/>
      <c r="AP325" s="37"/>
      <c r="AQ325" s="37"/>
    </row>
    <row r="326" spans="1:43">
      <c r="A326" s="21"/>
      <c r="B326" s="15"/>
      <c r="C326" s="86" t="s">
        <v>555</v>
      </c>
      <c r="D326" s="83"/>
      <c r="E326" s="84"/>
      <c r="F326" s="85"/>
      <c r="G326" s="26"/>
      <c r="H326" s="32"/>
      <c r="I326" s="32"/>
      <c r="J326" s="36"/>
      <c r="K326" s="32"/>
      <c r="L326" s="32"/>
      <c r="M326" s="37"/>
      <c r="N326" s="24"/>
      <c r="O326" s="9"/>
      <c r="P326" s="12"/>
      <c r="Q326" s="12"/>
      <c r="R326" s="20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37"/>
      <c r="AL326" s="37"/>
      <c r="AM326" s="37"/>
      <c r="AN326" s="37"/>
      <c r="AO326" s="37"/>
      <c r="AP326" s="37"/>
      <c r="AQ326" s="37"/>
    </row>
    <row r="327" spans="1:43" ht="24.75">
      <c r="A327" s="21">
        <f>A325+1</f>
        <v>269</v>
      </c>
      <c r="B327" s="27" t="s">
        <v>556</v>
      </c>
      <c r="C327" s="56" t="s">
        <v>557</v>
      </c>
      <c r="D327" s="83" t="s">
        <v>452</v>
      </c>
      <c r="E327" s="84" t="s">
        <v>79</v>
      </c>
      <c r="F327" s="85" t="s">
        <v>351</v>
      </c>
      <c r="G327" s="26">
        <f>645+30+50</f>
        <v>725</v>
      </c>
      <c r="H327" s="32">
        <f>G327*12</f>
        <v>8700</v>
      </c>
      <c r="I327" s="32">
        <v>60</v>
      </c>
      <c r="J327" s="36"/>
      <c r="K327" s="32">
        <f>G327</f>
        <v>725</v>
      </c>
      <c r="L327" s="32">
        <v>300</v>
      </c>
      <c r="M327" s="37"/>
      <c r="N327" s="24">
        <v>125</v>
      </c>
      <c r="O327" s="24"/>
      <c r="P327" s="12">
        <f>G327*0.0775*13</f>
        <v>730.4375</v>
      </c>
      <c r="Q327" s="9">
        <f>P327/13</f>
        <v>56.1875</v>
      </c>
      <c r="R327" s="12"/>
      <c r="S327" s="12"/>
      <c r="T327" s="12"/>
      <c r="U327" s="12">
        <f>G327*0.075*13</f>
        <v>706.875</v>
      </c>
      <c r="V327" s="12">
        <f>U327/13</f>
        <v>54.375</v>
      </c>
      <c r="W327" s="12"/>
      <c r="X327" s="12"/>
      <c r="Y327" s="12">
        <f>P327+S327+U327+W327+0.01</f>
        <v>1437.3225</v>
      </c>
      <c r="Z327" s="12">
        <f>G327*0.01*13</f>
        <v>94.25</v>
      </c>
      <c r="AA327" s="12">
        <f>Z327/13</f>
        <v>7.25</v>
      </c>
      <c r="AB327" s="12">
        <f>G327/30/7*1.5*45</f>
        <v>233.03571428571431</v>
      </c>
      <c r="AC327" s="12">
        <v>164.29</v>
      </c>
      <c r="AD327" s="12">
        <f>AB327-AC327</f>
        <v>68.745714285714314</v>
      </c>
      <c r="AE327" s="12">
        <f>AB327*0.0775</f>
        <v>18.060267857142858</v>
      </c>
      <c r="AF327" s="12"/>
      <c r="AG327" s="12">
        <f>AB327*0.075</f>
        <v>17.477678571428573</v>
      </c>
      <c r="AH327" s="12"/>
      <c r="AI327" s="12">
        <f>AE327+AF327+AG327+AH327</f>
        <v>35.537946428571431</v>
      </c>
      <c r="AJ327" s="12">
        <f>AB327*0.01</f>
        <v>2.3303571428571432</v>
      </c>
      <c r="AK327" s="37"/>
      <c r="AL327" s="37"/>
      <c r="AM327" s="12"/>
      <c r="AN327" s="12"/>
      <c r="AO327" s="12"/>
      <c r="AP327" s="37"/>
      <c r="AQ327" s="37"/>
    </row>
    <row r="328" spans="1:43" ht="24.75">
      <c r="A328" s="21">
        <f>A327+1</f>
        <v>270</v>
      </c>
      <c r="B328" s="27" t="s">
        <v>558</v>
      </c>
      <c r="C328" s="56" t="s">
        <v>559</v>
      </c>
      <c r="D328" s="83" t="s">
        <v>452</v>
      </c>
      <c r="E328" s="84" t="s">
        <v>79</v>
      </c>
      <c r="F328" s="85" t="s">
        <v>351</v>
      </c>
      <c r="G328" s="26">
        <f>694.29+30+50</f>
        <v>774.29</v>
      </c>
      <c r="H328" s="32">
        <f>G328*12</f>
        <v>9291.48</v>
      </c>
      <c r="I328" s="32">
        <v>60</v>
      </c>
      <c r="J328" s="36"/>
      <c r="K328" s="32">
        <f>G328</f>
        <v>774.29</v>
      </c>
      <c r="L328" s="32">
        <v>300</v>
      </c>
      <c r="M328" s="37"/>
      <c r="N328" s="24">
        <v>125</v>
      </c>
      <c r="O328" s="24"/>
      <c r="P328" s="12"/>
      <c r="Q328" s="12"/>
      <c r="R328" s="12"/>
      <c r="S328" s="12"/>
      <c r="T328" s="12"/>
      <c r="U328" s="12">
        <f>G328*0.075*13</f>
        <v>754.93274999999994</v>
      </c>
      <c r="V328" s="12">
        <f>U328/13</f>
        <v>58.071749999999994</v>
      </c>
      <c r="W328" s="12">
        <f>G328*0.06*13</f>
        <v>603.94619999999986</v>
      </c>
      <c r="X328" s="12">
        <f>W328/12</f>
        <v>50.328849999999989</v>
      </c>
      <c r="Y328" s="12">
        <f>P328+S328+U328+W328</f>
        <v>1358.8789499999998</v>
      </c>
      <c r="Z328" s="12">
        <f>G328*0.01*13</f>
        <v>100.65769999999999</v>
      </c>
      <c r="AA328" s="12">
        <f>Z328/13</f>
        <v>7.7428999999999997</v>
      </c>
      <c r="AB328" s="12">
        <f>G328/30/7*1.5*45</f>
        <v>248.87892857142853</v>
      </c>
      <c r="AC328" s="12">
        <v>178.37</v>
      </c>
      <c r="AD328" s="12">
        <f>AB328-AC328</f>
        <v>70.508928571428527</v>
      </c>
      <c r="AE328" s="12"/>
      <c r="AF328" s="12"/>
      <c r="AG328" s="12">
        <f>AB328*0.075</f>
        <v>18.665919642857141</v>
      </c>
      <c r="AH328" s="12">
        <f>AB328*0.06</f>
        <v>14.932735714285711</v>
      </c>
      <c r="AI328" s="12">
        <f>AE328+AF328+AG328+AH328</f>
        <v>33.598655357142853</v>
      </c>
      <c r="AJ328" s="12">
        <f>AB328*0.01</f>
        <v>2.4887892857142853</v>
      </c>
      <c r="AK328" s="61"/>
      <c r="AL328" s="61"/>
      <c r="AM328" s="12"/>
      <c r="AN328" s="12"/>
      <c r="AO328" s="12"/>
      <c r="AP328" s="61"/>
      <c r="AQ328" s="61"/>
    </row>
    <row r="329" spans="1:43" ht="24.75">
      <c r="A329" s="21">
        <f t="shared" ref="A329:A334" si="212">A328+1</f>
        <v>271</v>
      </c>
      <c r="B329" s="27" t="s">
        <v>560</v>
      </c>
      <c r="C329" s="108" t="s">
        <v>561</v>
      </c>
      <c r="D329" s="83" t="s">
        <v>452</v>
      </c>
      <c r="E329" s="84" t="s">
        <v>79</v>
      </c>
      <c r="F329" s="85" t="s">
        <v>351</v>
      </c>
      <c r="G329" s="26">
        <f>694.29+30+50</f>
        <v>774.29</v>
      </c>
      <c r="H329" s="32">
        <f t="shared" ref="H329:H334" si="213">G329*12</f>
        <v>9291.48</v>
      </c>
      <c r="I329" s="32">
        <v>60</v>
      </c>
      <c r="J329" s="36"/>
      <c r="K329" s="32">
        <f t="shared" ref="K329:K334" si="214">G329</f>
        <v>774.29</v>
      </c>
      <c r="L329" s="32">
        <v>300</v>
      </c>
      <c r="M329" s="37"/>
      <c r="N329" s="24">
        <v>125</v>
      </c>
      <c r="O329" s="24"/>
      <c r="P329" s="12"/>
      <c r="Q329" s="12"/>
      <c r="R329" s="12"/>
      <c r="S329" s="12"/>
      <c r="T329" s="12"/>
      <c r="U329" s="12">
        <f t="shared" ref="U329:U334" si="215">G329*0.075*13</f>
        <v>754.93274999999994</v>
      </c>
      <c r="V329" s="12">
        <f t="shared" ref="V329:V334" si="216">U329/13</f>
        <v>58.071749999999994</v>
      </c>
      <c r="W329" s="12">
        <f>G329*0.06*13</f>
        <v>603.94619999999986</v>
      </c>
      <c r="X329" s="12">
        <f>W329/12</f>
        <v>50.328849999999989</v>
      </c>
      <c r="Y329" s="12">
        <f t="shared" ref="Y329:Y334" si="217">P329+S329+U329+W329</f>
        <v>1358.8789499999998</v>
      </c>
      <c r="Z329" s="12">
        <f>G329*0.01*13</f>
        <v>100.65769999999999</v>
      </c>
      <c r="AA329" s="12">
        <f t="shared" ref="AA329:AA334" si="218">Z329/13</f>
        <v>7.7428999999999997</v>
      </c>
      <c r="AB329" s="12">
        <f t="shared" ref="AB329:AB334" si="219">G329/30/7*1.5*45</f>
        <v>248.87892857142853</v>
      </c>
      <c r="AC329" s="12"/>
      <c r="AD329" s="12"/>
      <c r="AE329" s="12"/>
      <c r="AF329" s="12"/>
      <c r="AG329" s="12">
        <f t="shared" ref="AG329:AG334" si="220">AB329*0.075</f>
        <v>18.665919642857141</v>
      </c>
      <c r="AH329" s="12">
        <f>AB329*0.06</f>
        <v>14.932735714285711</v>
      </c>
      <c r="AI329" s="12">
        <f t="shared" ref="AI329:AI334" si="221">AE329+AF329+AG329+AH329</f>
        <v>33.598655357142853</v>
      </c>
      <c r="AJ329" s="12">
        <f t="shared" ref="AJ329:AJ334" si="222">AB329*0.01</f>
        <v>2.4887892857142853</v>
      </c>
      <c r="AK329" s="37"/>
      <c r="AL329" s="37"/>
      <c r="AM329" s="12"/>
      <c r="AN329" s="12"/>
      <c r="AO329" s="12"/>
      <c r="AP329" s="37"/>
      <c r="AQ329" s="37"/>
    </row>
    <row r="330" spans="1:43" ht="24.75">
      <c r="A330" s="21">
        <f t="shared" si="212"/>
        <v>272</v>
      </c>
      <c r="B330" s="27" t="s">
        <v>562</v>
      </c>
      <c r="C330" s="108" t="s">
        <v>563</v>
      </c>
      <c r="D330" s="83" t="s">
        <v>452</v>
      </c>
      <c r="E330" s="84" t="s">
        <v>79</v>
      </c>
      <c r="F330" s="85" t="s">
        <v>351</v>
      </c>
      <c r="G330" s="26">
        <f>614.86+30+50</f>
        <v>694.86</v>
      </c>
      <c r="H330" s="32">
        <f>G330*12</f>
        <v>8338.32</v>
      </c>
      <c r="I330" s="32">
        <v>60</v>
      </c>
      <c r="J330" s="36"/>
      <c r="K330" s="32">
        <f>G330</f>
        <v>694.86</v>
      </c>
      <c r="L330" s="32">
        <v>300</v>
      </c>
      <c r="M330" s="37"/>
      <c r="N330" s="24">
        <v>125</v>
      </c>
      <c r="O330" s="24"/>
      <c r="P330" s="12"/>
      <c r="Q330" s="12"/>
      <c r="R330" s="12"/>
      <c r="S330" s="12"/>
      <c r="T330" s="12"/>
      <c r="U330" s="12">
        <f>G330*0.075*13</f>
        <v>677.48850000000004</v>
      </c>
      <c r="V330" s="12">
        <f>U330/13</f>
        <v>52.114500000000007</v>
      </c>
      <c r="W330" s="12">
        <f>G330*0.06*13</f>
        <v>541.99080000000004</v>
      </c>
      <c r="X330" s="12">
        <f>W330/12</f>
        <v>45.165900000000001</v>
      </c>
      <c r="Y330" s="12">
        <f t="shared" si="217"/>
        <v>1219.4793</v>
      </c>
      <c r="Z330" s="12">
        <f>G330*0.01*13</f>
        <v>90.331800000000001</v>
      </c>
      <c r="AA330" s="12">
        <f>Z330/13</f>
        <v>6.9485999999999999</v>
      </c>
      <c r="AB330" s="12">
        <f>G330/30/7*1.5*45</f>
        <v>223.34785714285712</v>
      </c>
      <c r="AC330" s="12">
        <v>155.68</v>
      </c>
      <c r="AD330" s="12">
        <f>AB330-AC330</f>
        <v>67.667857142857116</v>
      </c>
      <c r="AE330" s="12"/>
      <c r="AF330" s="12"/>
      <c r="AG330" s="12">
        <f>AB330*0.075</f>
        <v>16.751089285714283</v>
      </c>
      <c r="AH330" s="12">
        <f>AB330*0.06</f>
        <v>13.400871428571428</v>
      </c>
      <c r="AI330" s="12">
        <f t="shared" si="221"/>
        <v>30.15196071428571</v>
      </c>
      <c r="AJ330" s="12">
        <f>AB330*0.01</f>
        <v>2.2334785714285714</v>
      </c>
      <c r="AK330" s="37"/>
      <c r="AL330" s="37"/>
      <c r="AM330" s="12"/>
      <c r="AN330" s="12"/>
      <c r="AO330" s="12"/>
      <c r="AP330" s="37"/>
      <c r="AQ330" s="37"/>
    </row>
    <row r="331" spans="1:43" ht="24.75">
      <c r="A331" s="21">
        <f t="shared" si="212"/>
        <v>273</v>
      </c>
      <c r="B331" s="27" t="s">
        <v>564</v>
      </c>
      <c r="C331" s="56" t="s">
        <v>565</v>
      </c>
      <c r="D331" s="83" t="s">
        <v>452</v>
      </c>
      <c r="E331" s="84" t="s">
        <v>79</v>
      </c>
      <c r="F331" s="85" t="s">
        <v>351</v>
      </c>
      <c r="G331" s="26">
        <f>467+30+50</f>
        <v>547</v>
      </c>
      <c r="H331" s="32">
        <f t="shared" si="213"/>
        <v>6564</v>
      </c>
      <c r="I331" s="32">
        <v>60</v>
      </c>
      <c r="J331" s="36"/>
      <c r="K331" s="32">
        <f t="shared" si="214"/>
        <v>547</v>
      </c>
      <c r="L331" s="32">
        <v>300</v>
      </c>
      <c r="M331" s="37"/>
      <c r="N331" s="24">
        <v>125</v>
      </c>
      <c r="O331" s="24"/>
      <c r="P331" s="12">
        <f>G331*0.0775*13</f>
        <v>551.10249999999996</v>
      </c>
      <c r="Q331" s="9">
        <f>P331/13</f>
        <v>42.392499999999998</v>
      </c>
      <c r="R331" s="12"/>
      <c r="S331" s="12"/>
      <c r="T331" s="12" t="s">
        <v>50</v>
      </c>
      <c r="U331" s="12">
        <f t="shared" si="215"/>
        <v>533.32499999999993</v>
      </c>
      <c r="V331" s="12">
        <f t="shared" si="216"/>
        <v>41.024999999999991</v>
      </c>
      <c r="W331" s="12"/>
      <c r="X331" s="12"/>
      <c r="Y331" s="12">
        <f t="shared" si="217"/>
        <v>1084.4274999999998</v>
      </c>
      <c r="Z331" s="12">
        <f t="shared" ref="Z331:Z334" si="223">G331*0.01*13</f>
        <v>71.11</v>
      </c>
      <c r="AA331" s="12">
        <f t="shared" si="218"/>
        <v>5.47</v>
      </c>
      <c r="AB331" s="12">
        <f t="shared" si="219"/>
        <v>175.82142857142858</v>
      </c>
      <c r="AC331" s="12">
        <v>113.43</v>
      </c>
      <c r="AD331" s="12">
        <f>AB331-AC331</f>
        <v>62.391428571428577</v>
      </c>
      <c r="AE331" s="12">
        <f>AB331*0.0775</f>
        <v>13.626160714285716</v>
      </c>
      <c r="AF331" s="12"/>
      <c r="AG331" s="12">
        <f t="shared" si="220"/>
        <v>13.186607142857143</v>
      </c>
      <c r="AH331" s="12"/>
      <c r="AI331" s="12">
        <f>AE331+AF331+AG331+AH331+0.01</f>
        <v>26.82276785714286</v>
      </c>
      <c r="AJ331" s="12">
        <f t="shared" si="222"/>
        <v>1.758214285714286</v>
      </c>
      <c r="AK331" s="37"/>
      <c r="AL331" s="37"/>
      <c r="AM331" s="12"/>
      <c r="AN331" s="12"/>
      <c r="AO331" s="12"/>
      <c r="AP331" s="37"/>
      <c r="AQ331" s="37"/>
    </row>
    <row r="332" spans="1:43" ht="24.75">
      <c r="A332" s="21">
        <f t="shared" si="212"/>
        <v>274</v>
      </c>
      <c r="B332" s="27" t="s">
        <v>566</v>
      </c>
      <c r="C332" s="108" t="s">
        <v>567</v>
      </c>
      <c r="D332" s="83" t="s">
        <v>452</v>
      </c>
      <c r="E332" s="84" t="s">
        <v>79</v>
      </c>
      <c r="F332" s="85" t="s">
        <v>351</v>
      </c>
      <c r="G332" s="26">
        <f>614.86+30+50</f>
        <v>694.86</v>
      </c>
      <c r="H332" s="32">
        <f t="shared" si="213"/>
        <v>8338.32</v>
      </c>
      <c r="I332" s="32">
        <v>60</v>
      </c>
      <c r="J332" s="36"/>
      <c r="K332" s="32">
        <f t="shared" si="214"/>
        <v>694.86</v>
      </c>
      <c r="L332" s="32">
        <v>300</v>
      </c>
      <c r="M332" s="37"/>
      <c r="N332" s="24">
        <v>125</v>
      </c>
      <c r="O332" s="24"/>
      <c r="P332" s="12"/>
      <c r="Q332" s="12"/>
      <c r="R332" s="12"/>
      <c r="S332" s="12"/>
      <c r="T332" s="12"/>
      <c r="U332" s="12">
        <f t="shared" si="215"/>
        <v>677.48850000000004</v>
      </c>
      <c r="V332" s="12">
        <f t="shared" si="216"/>
        <v>52.114500000000007</v>
      </c>
      <c r="W332" s="12">
        <f>G332*0.06*13</f>
        <v>541.99080000000004</v>
      </c>
      <c r="X332" s="12">
        <f>W332/12</f>
        <v>45.165900000000001</v>
      </c>
      <c r="Y332" s="12">
        <f t="shared" si="217"/>
        <v>1219.4793</v>
      </c>
      <c r="Z332" s="12">
        <f t="shared" si="223"/>
        <v>90.331800000000001</v>
      </c>
      <c r="AA332" s="12">
        <f t="shared" si="218"/>
        <v>6.9485999999999999</v>
      </c>
      <c r="AB332" s="12">
        <f t="shared" si="219"/>
        <v>223.34785714285712</v>
      </c>
      <c r="AC332" s="12">
        <v>155.68</v>
      </c>
      <c r="AD332" s="12">
        <f>AB332-AC332</f>
        <v>67.667857142857116</v>
      </c>
      <c r="AE332" s="12"/>
      <c r="AF332" s="12"/>
      <c r="AG332" s="12">
        <f t="shared" si="220"/>
        <v>16.751089285714283</v>
      </c>
      <c r="AH332" s="12">
        <f>AB332*0.06</f>
        <v>13.400871428571428</v>
      </c>
      <c r="AI332" s="12">
        <f t="shared" si="221"/>
        <v>30.15196071428571</v>
      </c>
      <c r="AJ332" s="12">
        <f t="shared" si="222"/>
        <v>2.2334785714285714</v>
      </c>
      <c r="AK332" s="37"/>
      <c r="AL332" s="37"/>
      <c r="AM332" s="12"/>
      <c r="AN332" s="12"/>
      <c r="AO332" s="12"/>
      <c r="AP332" s="37"/>
      <c r="AQ332" s="37"/>
    </row>
    <row r="333" spans="1:43" ht="24.75">
      <c r="A333" s="21">
        <f t="shared" si="212"/>
        <v>275</v>
      </c>
      <c r="B333" s="27" t="s">
        <v>568</v>
      </c>
      <c r="C333" s="108" t="s">
        <v>569</v>
      </c>
      <c r="D333" s="83" t="s">
        <v>452</v>
      </c>
      <c r="E333" s="84" t="s">
        <v>79</v>
      </c>
      <c r="F333" s="85" t="s">
        <v>351</v>
      </c>
      <c r="G333" s="26">
        <f>614.86+30+50</f>
        <v>694.86</v>
      </c>
      <c r="H333" s="32">
        <f t="shared" si="213"/>
        <v>8338.32</v>
      </c>
      <c r="I333" s="32">
        <v>60</v>
      </c>
      <c r="J333" s="36"/>
      <c r="K333" s="32">
        <f t="shared" si="214"/>
        <v>694.86</v>
      </c>
      <c r="L333" s="32">
        <v>300</v>
      </c>
      <c r="M333" s="37"/>
      <c r="N333" s="24">
        <v>125</v>
      </c>
      <c r="O333" s="24"/>
      <c r="P333" s="12"/>
      <c r="Q333" s="12"/>
      <c r="R333" s="12"/>
      <c r="S333" s="12"/>
      <c r="T333" s="12"/>
      <c r="U333" s="12">
        <f t="shared" si="215"/>
        <v>677.48850000000004</v>
      </c>
      <c r="V333" s="12">
        <f t="shared" si="216"/>
        <v>52.114500000000007</v>
      </c>
      <c r="W333" s="12">
        <f>G333*0.06*13</f>
        <v>541.99080000000004</v>
      </c>
      <c r="X333" s="12">
        <f>W333/12</f>
        <v>45.165900000000001</v>
      </c>
      <c r="Y333" s="12">
        <f t="shared" si="217"/>
        <v>1219.4793</v>
      </c>
      <c r="Z333" s="12">
        <f t="shared" si="223"/>
        <v>90.331800000000001</v>
      </c>
      <c r="AA333" s="12">
        <f t="shared" si="218"/>
        <v>6.9485999999999999</v>
      </c>
      <c r="AB333" s="12">
        <f t="shared" si="219"/>
        <v>223.34785714285712</v>
      </c>
      <c r="AC333" s="12">
        <v>155.68</v>
      </c>
      <c r="AD333" s="12">
        <f>AB333-AC333</f>
        <v>67.667857142857116</v>
      </c>
      <c r="AE333" s="12"/>
      <c r="AF333" s="12"/>
      <c r="AG333" s="12">
        <f t="shared" si="220"/>
        <v>16.751089285714283</v>
      </c>
      <c r="AH333" s="12">
        <f>AB333*0.06</f>
        <v>13.400871428571428</v>
      </c>
      <c r="AI333" s="12">
        <f t="shared" si="221"/>
        <v>30.15196071428571</v>
      </c>
      <c r="AJ333" s="12">
        <f t="shared" si="222"/>
        <v>2.2334785714285714</v>
      </c>
      <c r="AK333" s="37"/>
      <c r="AL333" s="37"/>
      <c r="AM333" s="12"/>
      <c r="AN333" s="12"/>
      <c r="AO333" s="12"/>
      <c r="AP333" s="37"/>
      <c r="AQ333" s="37"/>
    </row>
    <row r="334" spans="1:43" ht="24.75">
      <c r="A334" s="21">
        <f t="shared" si="212"/>
        <v>276</v>
      </c>
      <c r="B334" s="27" t="s">
        <v>570</v>
      </c>
      <c r="C334" s="108" t="s">
        <v>571</v>
      </c>
      <c r="D334" s="83" t="s">
        <v>452</v>
      </c>
      <c r="E334" s="84" t="s">
        <v>79</v>
      </c>
      <c r="F334" s="85" t="s">
        <v>351</v>
      </c>
      <c r="G334" s="26">
        <f>417+50</f>
        <v>467</v>
      </c>
      <c r="H334" s="32">
        <f t="shared" si="213"/>
        <v>5604</v>
      </c>
      <c r="I334" s="32">
        <v>60</v>
      </c>
      <c r="J334" s="36"/>
      <c r="K334" s="32">
        <f t="shared" si="214"/>
        <v>467</v>
      </c>
      <c r="L334" s="32">
        <v>300</v>
      </c>
      <c r="M334" s="37"/>
      <c r="N334" s="24">
        <v>125</v>
      </c>
      <c r="O334" s="24"/>
      <c r="P334" s="12">
        <f>G334*0.0775*13</f>
        <v>470.50250000000005</v>
      </c>
      <c r="Q334" s="12"/>
      <c r="R334" s="12">
        <f>P334/13</f>
        <v>36.192500000000003</v>
      </c>
      <c r="S334" s="62"/>
      <c r="T334" s="12"/>
      <c r="U334" s="12">
        <f t="shared" si="215"/>
        <v>455.32499999999999</v>
      </c>
      <c r="V334" s="12">
        <f t="shared" si="216"/>
        <v>35.024999999999999</v>
      </c>
      <c r="W334" s="12"/>
      <c r="X334" s="12"/>
      <c r="Y334" s="12">
        <f t="shared" si="217"/>
        <v>925.8275000000001</v>
      </c>
      <c r="Z334" s="12">
        <f t="shared" si="223"/>
        <v>60.71</v>
      </c>
      <c r="AA334" s="12">
        <f t="shared" si="218"/>
        <v>4.67</v>
      </c>
      <c r="AB334" s="12">
        <f t="shared" si="219"/>
        <v>150.10714285714286</v>
      </c>
      <c r="AC334" s="12">
        <v>138.53</v>
      </c>
      <c r="AD334" s="12">
        <f>AB334-AC334</f>
        <v>11.57714285714286</v>
      </c>
      <c r="AE334" s="12">
        <f>AB334*0.0775</f>
        <v>11.633303571428572</v>
      </c>
      <c r="AF334" s="12"/>
      <c r="AG334" s="12">
        <f t="shared" si="220"/>
        <v>11.258035714285715</v>
      </c>
      <c r="AH334" s="12"/>
      <c r="AI334" s="12">
        <f t="shared" si="221"/>
        <v>22.891339285714288</v>
      </c>
      <c r="AJ334" s="12">
        <f t="shared" si="222"/>
        <v>1.5010714285714286</v>
      </c>
      <c r="AK334" s="37"/>
      <c r="AL334" s="37"/>
      <c r="AM334" s="12"/>
      <c r="AN334" s="12"/>
      <c r="AO334" s="12"/>
      <c r="AP334" s="37"/>
      <c r="AQ334" s="37"/>
    </row>
    <row r="335" spans="1:43">
      <c r="A335" s="21"/>
      <c r="B335" s="15"/>
      <c r="C335" s="86" t="s">
        <v>572</v>
      </c>
      <c r="D335" s="83"/>
      <c r="E335" s="84"/>
      <c r="F335" s="85"/>
      <c r="G335" s="26"/>
      <c r="H335" s="32"/>
      <c r="I335" s="32"/>
      <c r="J335" s="36"/>
      <c r="K335" s="32"/>
      <c r="L335" s="32"/>
      <c r="M335" s="37"/>
      <c r="N335" s="24"/>
      <c r="O335" s="9"/>
      <c r="P335" s="12"/>
      <c r="Q335" s="12"/>
      <c r="R335" s="20"/>
      <c r="S335" s="6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37"/>
      <c r="AL335" s="37"/>
      <c r="AM335" s="37"/>
      <c r="AN335" s="37"/>
      <c r="AO335" s="37"/>
      <c r="AP335" s="37"/>
      <c r="AQ335" s="37"/>
    </row>
    <row r="336" spans="1:43" ht="24.75">
      <c r="A336" s="21">
        <f>A334+1</f>
        <v>277</v>
      </c>
      <c r="B336" s="27" t="s">
        <v>573</v>
      </c>
      <c r="C336" s="56" t="s">
        <v>574</v>
      </c>
      <c r="D336" s="83" t="s">
        <v>452</v>
      </c>
      <c r="E336" s="84" t="s">
        <v>79</v>
      </c>
      <c r="F336" s="85" t="s">
        <v>351</v>
      </c>
      <c r="G336" s="26">
        <f>617.72+30+50</f>
        <v>697.72</v>
      </c>
      <c r="H336" s="32">
        <f>G336*12</f>
        <v>8372.64</v>
      </c>
      <c r="I336" s="32">
        <v>60</v>
      </c>
      <c r="J336" s="36"/>
      <c r="K336" s="32">
        <f>G336</f>
        <v>697.72</v>
      </c>
      <c r="L336" s="32">
        <v>300</v>
      </c>
      <c r="M336" s="37"/>
      <c r="N336" s="24">
        <v>125</v>
      </c>
      <c r="O336" s="24"/>
      <c r="P336" s="12">
        <f>G336*0.0775*13</f>
        <v>702.9529</v>
      </c>
      <c r="Q336" s="40"/>
      <c r="R336" s="12">
        <f>P336/13</f>
        <v>54.073300000000003</v>
      </c>
      <c r="S336" s="12"/>
      <c r="T336" s="12"/>
      <c r="U336" s="12">
        <f>G336*0.075*13</f>
        <v>680.27700000000004</v>
      </c>
      <c r="V336" s="12">
        <f>U336/13</f>
        <v>52.329000000000001</v>
      </c>
      <c r="W336" s="12"/>
      <c r="X336" s="12"/>
      <c r="Y336" s="12">
        <f>P336+S336+U336+W336</f>
        <v>1383.2299</v>
      </c>
      <c r="Z336" s="12">
        <f>G336*0.01*13</f>
        <v>90.703600000000009</v>
      </c>
      <c r="AA336" s="12">
        <f>Z336/13</f>
        <v>6.9772000000000007</v>
      </c>
      <c r="AB336" s="12">
        <f>G336/30/7*1.5*45</f>
        <v>224.26714285714286</v>
      </c>
      <c r="AC336" s="12"/>
      <c r="AD336" s="12"/>
      <c r="AE336" s="12">
        <f>AB336*0.0775</f>
        <v>17.380703571428572</v>
      </c>
      <c r="AF336" s="12"/>
      <c r="AG336" s="12">
        <f>AB336*0.075</f>
        <v>16.820035714285712</v>
      </c>
      <c r="AH336" s="12"/>
      <c r="AI336" s="12">
        <f>AE336+AF336+AG336+AH336</f>
        <v>34.200739285714285</v>
      </c>
      <c r="AJ336" s="12">
        <f>AB336*0.01</f>
        <v>2.2426714285714286</v>
      </c>
      <c r="AK336" s="37"/>
      <c r="AL336" s="37"/>
      <c r="AM336" s="12"/>
      <c r="AN336" s="12"/>
      <c r="AO336" s="12"/>
      <c r="AP336" s="37"/>
      <c r="AQ336" s="37"/>
    </row>
    <row r="337" spans="1:43" ht="24.75">
      <c r="A337" s="21">
        <f>A336+1</f>
        <v>278</v>
      </c>
      <c r="B337" s="27" t="s">
        <v>575</v>
      </c>
      <c r="C337" s="56" t="s">
        <v>576</v>
      </c>
      <c r="D337" s="83" t="s">
        <v>452</v>
      </c>
      <c r="E337" s="84" t="s">
        <v>79</v>
      </c>
      <c r="F337" s="85" t="s">
        <v>351</v>
      </c>
      <c r="G337" s="26">
        <f>467+30+50</f>
        <v>547</v>
      </c>
      <c r="H337" s="32">
        <f>G337*12</f>
        <v>6564</v>
      </c>
      <c r="I337" s="32">
        <v>60</v>
      </c>
      <c r="J337" s="36"/>
      <c r="K337" s="32">
        <f>G337</f>
        <v>547</v>
      </c>
      <c r="L337" s="32">
        <v>300</v>
      </c>
      <c r="M337" s="37"/>
      <c r="N337" s="24">
        <v>125</v>
      </c>
      <c r="O337" s="24"/>
      <c r="P337" s="12">
        <f>G337*0.0775*13</f>
        <v>551.10249999999996</v>
      </c>
      <c r="Q337" s="40"/>
      <c r="R337" s="12">
        <f>P337/13</f>
        <v>42.392499999999998</v>
      </c>
      <c r="S337" s="12"/>
      <c r="T337" s="12"/>
      <c r="U337" s="12">
        <f>G337*0.075*13</f>
        <v>533.32499999999993</v>
      </c>
      <c r="V337" s="12">
        <f>U337/13</f>
        <v>41.024999999999991</v>
      </c>
      <c r="W337" s="12"/>
      <c r="X337" s="12"/>
      <c r="Y337" s="12">
        <f>P337+S337+U337+W337</f>
        <v>1084.4274999999998</v>
      </c>
      <c r="Z337" s="12">
        <f>G337*0.01*13</f>
        <v>71.11</v>
      </c>
      <c r="AA337" s="12">
        <f>Z337/13</f>
        <v>5.47</v>
      </c>
      <c r="AB337" s="12">
        <f>G337/30/7*1.5*45</f>
        <v>175.82142857142858</v>
      </c>
      <c r="AC337" s="12"/>
      <c r="AD337" s="12"/>
      <c r="AE337" s="12">
        <f>AB337*0.0775</f>
        <v>13.626160714285716</v>
      </c>
      <c r="AF337" s="12"/>
      <c r="AG337" s="12">
        <f>AB337*0.075</f>
        <v>13.186607142857143</v>
      </c>
      <c r="AH337" s="12"/>
      <c r="AI337" s="12">
        <f>AE337+AF337+AG337+AH337+0.01</f>
        <v>26.82276785714286</v>
      </c>
      <c r="AJ337" s="12">
        <f>AB337*0.01</f>
        <v>1.758214285714286</v>
      </c>
      <c r="AK337" s="37"/>
      <c r="AL337" s="37"/>
      <c r="AM337" s="12"/>
      <c r="AN337" s="12"/>
      <c r="AO337" s="12"/>
      <c r="AP337" s="37"/>
      <c r="AQ337" s="37"/>
    </row>
    <row r="338" spans="1:43">
      <c r="A338" s="21"/>
      <c r="B338" s="15"/>
      <c r="C338" s="86" t="s">
        <v>577</v>
      </c>
      <c r="D338" s="83"/>
      <c r="E338" s="84"/>
      <c r="F338" s="85"/>
      <c r="G338" s="26"/>
      <c r="H338" s="32"/>
      <c r="I338" s="32"/>
      <c r="J338" s="36"/>
      <c r="K338" s="32"/>
      <c r="L338" s="32"/>
      <c r="M338" s="37"/>
      <c r="N338" s="24"/>
      <c r="O338" s="9"/>
      <c r="P338" s="12"/>
      <c r="Q338" s="40"/>
      <c r="R338" s="20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37"/>
      <c r="AL338" s="37"/>
      <c r="AM338" s="37"/>
      <c r="AN338" s="37"/>
      <c r="AO338" s="37"/>
      <c r="AP338" s="37"/>
      <c r="AQ338" s="37"/>
    </row>
    <row r="339" spans="1:43" ht="24.75">
      <c r="A339" s="21">
        <f>A337+1</f>
        <v>279</v>
      </c>
      <c r="B339" s="27" t="s">
        <v>578</v>
      </c>
      <c r="C339" s="56" t="s">
        <v>579</v>
      </c>
      <c r="D339" s="83" t="s">
        <v>452</v>
      </c>
      <c r="E339" s="84" t="s">
        <v>79</v>
      </c>
      <c r="F339" s="85" t="s">
        <v>351</v>
      </c>
      <c r="G339" s="26">
        <f>617.72+30+50</f>
        <v>697.72</v>
      </c>
      <c r="H339" s="32">
        <f>G339*12</f>
        <v>8372.64</v>
      </c>
      <c r="I339" s="32">
        <v>60</v>
      </c>
      <c r="J339" s="36"/>
      <c r="K339" s="32">
        <f>G339</f>
        <v>697.72</v>
      </c>
      <c r="L339" s="32">
        <v>300</v>
      </c>
      <c r="M339" s="37"/>
      <c r="N339" s="24">
        <v>125</v>
      </c>
      <c r="O339" s="24"/>
      <c r="P339" s="12">
        <f>G339*0.0775*13</f>
        <v>702.9529</v>
      </c>
      <c r="Q339" s="40"/>
      <c r="R339" s="12">
        <f>P339/13</f>
        <v>54.073300000000003</v>
      </c>
      <c r="S339" s="12"/>
      <c r="T339" s="12"/>
      <c r="U339" s="12">
        <f>G339*0.075*13</f>
        <v>680.27700000000004</v>
      </c>
      <c r="V339" s="12">
        <f>U339/13</f>
        <v>52.329000000000001</v>
      </c>
      <c r="W339" s="12"/>
      <c r="X339" s="12"/>
      <c r="Y339" s="12">
        <f>P339+S339+U339+W339</f>
        <v>1383.2299</v>
      </c>
      <c r="Z339" s="12">
        <f>G339*0.01*13</f>
        <v>90.703600000000009</v>
      </c>
      <c r="AA339" s="12">
        <f>Z339/13</f>
        <v>6.9772000000000007</v>
      </c>
      <c r="AB339" s="12">
        <f>G339/30/7*1.5*45</f>
        <v>224.26714285714286</v>
      </c>
      <c r="AC339" s="12">
        <v>156.49</v>
      </c>
      <c r="AD339" s="12">
        <f>AB339-AC339</f>
        <v>67.777142857142849</v>
      </c>
      <c r="AE339" s="12">
        <f>AB339*0.0775</f>
        <v>17.380703571428572</v>
      </c>
      <c r="AF339" s="12"/>
      <c r="AG339" s="12">
        <f>AB339*0.075</f>
        <v>16.820035714285712</v>
      </c>
      <c r="AH339" s="12"/>
      <c r="AI339" s="12">
        <f>AE339+AF339+AG339+AH339</f>
        <v>34.200739285714285</v>
      </c>
      <c r="AJ339" s="12">
        <f>AB339*0.01</f>
        <v>2.2426714285714286</v>
      </c>
      <c r="AK339" s="37"/>
      <c r="AL339" s="37"/>
      <c r="AM339" s="12"/>
      <c r="AN339" s="12"/>
      <c r="AO339" s="12"/>
      <c r="AP339" s="37"/>
      <c r="AQ339" s="37"/>
    </row>
    <row r="340" spans="1:43" ht="24.75">
      <c r="A340" s="21">
        <f>A339+1</f>
        <v>280</v>
      </c>
      <c r="B340" s="27" t="s">
        <v>580</v>
      </c>
      <c r="C340" s="51" t="s">
        <v>581</v>
      </c>
      <c r="D340" s="83" t="s">
        <v>452</v>
      </c>
      <c r="E340" s="84" t="s">
        <v>79</v>
      </c>
      <c r="F340" s="85" t="s">
        <v>351</v>
      </c>
      <c r="G340" s="26">
        <f>437+30+50</f>
        <v>517</v>
      </c>
      <c r="H340" s="32">
        <f>G340*12</f>
        <v>6204</v>
      </c>
      <c r="I340" s="32">
        <v>60</v>
      </c>
      <c r="J340" s="36"/>
      <c r="K340" s="32">
        <f>G340</f>
        <v>517</v>
      </c>
      <c r="L340" s="32">
        <v>300</v>
      </c>
      <c r="M340" s="37"/>
      <c r="N340" s="24">
        <v>125</v>
      </c>
      <c r="O340" s="24"/>
      <c r="P340" s="12">
        <f>G340*0.0775*13</f>
        <v>520.87750000000005</v>
      </c>
      <c r="Q340" s="9">
        <f>P340/13</f>
        <v>40.067500000000003</v>
      </c>
      <c r="R340" s="12"/>
      <c r="S340" s="37"/>
      <c r="T340" s="37"/>
      <c r="U340" s="12">
        <f>G340*0.075*13</f>
        <v>504.07499999999999</v>
      </c>
      <c r="V340" s="12">
        <f>U340/13</f>
        <v>38.774999999999999</v>
      </c>
      <c r="W340" s="37"/>
      <c r="X340" s="37"/>
      <c r="Y340" s="12">
        <f>P340+S340+U340+W340+0.01</f>
        <v>1024.9625000000001</v>
      </c>
      <c r="Z340" s="12">
        <f>G340*0.01*13</f>
        <v>67.209999999999994</v>
      </c>
      <c r="AA340" s="12">
        <f>Z340/13</f>
        <v>5.17</v>
      </c>
      <c r="AB340" s="12">
        <f>G340/30/7*1.5*45</f>
        <v>166.17857142857144</v>
      </c>
      <c r="AC340" s="12"/>
      <c r="AD340" s="12"/>
      <c r="AE340" s="12">
        <f>AB340*0.0775</f>
        <v>12.878839285714287</v>
      </c>
      <c r="AF340" s="12"/>
      <c r="AG340" s="12">
        <f>AB340*0.075</f>
        <v>12.463392857142859</v>
      </c>
      <c r="AH340" s="12"/>
      <c r="AI340" s="12">
        <f>AE340+AF340+AG340+AH340</f>
        <v>25.342232142857146</v>
      </c>
      <c r="AJ340" s="12">
        <f>AB340*0.01</f>
        <v>1.6617857142857144</v>
      </c>
      <c r="AK340" s="38"/>
      <c r="AL340" s="38"/>
      <c r="AM340" s="12"/>
      <c r="AN340" s="12"/>
      <c r="AO340" s="12"/>
      <c r="AP340" s="38"/>
      <c r="AQ340" s="37"/>
    </row>
    <row r="341" spans="1:43">
      <c r="A341" s="21"/>
      <c r="B341" s="15"/>
      <c r="C341" s="86" t="s">
        <v>582</v>
      </c>
      <c r="D341" s="83"/>
      <c r="E341" s="84"/>
      <c r="F341" s="85"/>
      <c r="G341" s="26"/>
      <c r="H341" s="32"/>
      <c r="I341" s="32"/>
      <c r="J341" s="36"/>
      <c r="K341" s="32"/>
      <c r="L341" s="32"/>
      <c r="M341" s="37"/>
      <c r="N341" s="24"/>
      <c r="O341" s="9"/>
      <c r="P341" s="12"/>
      <c r="Q341" s="40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37"/>
      <c r="AL341" s="37"/>
      <c r="AM341" s="37"/>
      <c r="AN341" s="37"/>
      <c r="AO341" s="37"/>
      <c r="AP341" s="37"/>
      <c r="AQ341" s="37"/>
    </row>
    <row r="342" spans="1:43" ht="24.75">
      <c r="A342" s="21">
        <f>A340+1</f>
        <v>281</v>
      </c>
      <c r="B342" s="27" t="s">
        <v>583</v>
      </c>
      <c r="C342" s="56" t="s">
        <v>584</v>
      </c>
      <c r="D342" s="83" t="s">
        <v>452</v>
      </c>
      <c r="E342" s="84" t="s">
        <v>79</v>
      </c>
      <c r="F342" s="85" t="s">
        <v>351</v>
      </c>
      <c r="G342" s="26">
        <f>795+30+50</f>
        <v>875</v>
      </c>
      <c r="H342" s="32">
        <f>G342*12</f>
        <v>10500</v>
      </c>
      <c r="I342" s="32">
        <v>60</v>
      </c>
      <c r="J342" s="36"/>
      <c r="K342" s="32">
        <f>G342</f>
        <v>875</v>
      </c>
      <c r="L342" s="32">
        <v>300</v>
      </c>
      <c r="M342" s="37"/>
      <c r="N342" s="24">
        <v>125</v>
      </c>
      <c r="O342" s="24"/>
      <c r="P342" s="12">
        <f>G342*0.0775*13</f>
        <v>881.5625</v>
      </c>
      <c r="Q342" s="9">
        <f>P342/13</f>
        <v>67.8125</v>
      </c>
      <c r="R342" s="12"/>
      <c r="S342" s="12"/>
      <c r="T342" s="12"/>
      <c r="U342" s="12">
        <f>G342*0.075*13</f>
        <v>853.125</v>
      </c>
      <c r="V342" s="12">
        <f>U342/13</f>
        <v>65.625</v>
      </c>
      <c r="W342" s="12"/>
      <c r="X342" s="12"/>
      <c r="Y342" s="12">
        <f>P342+S342+U342+W342</f>
        <v>1734.6875</v>
      </c>
      <c r="Z342" s="12">
        <f>G342*0.01*13</f>
        <v>113.75</v>
      </c>
      <c r="AA342" s="12">
        <f>Z342/13</f>
        <v>8.75</v>
      </c>
      <c r="AB342" s="12">
        <f>G342/30/7*1.5*45</f>
        <v>281.25</v>
      </c>
      <c r="AC342" s="12">
        <v>207.14</v>
      </c>
      <c r="AD342" s="12">
        <f>AB342-AC342</f>
        <v>74.110000000000014</v>
      </c>
      <c r="AE342" s="12">
        <f>AB342*0.0775</f>
        <v>21.796875</v>
      </c>
      <c r="AF342" s="12"/>
      <c r="AG342" s="12">
        <f>AB342*0.075</f>
        <v>21.09375</v>
      </c>
      <c r="AH342" s="12"/>
      <c r="AI342" s="12">
        <f>AE342+AF342+AG342+AH342</f>
        <v>42.890625</v>
      </c>
      <c r="AJ342" s="12">
        <f>AB342*0.01</f>
        <v>2.8125</v>
      </c>
      <c r="AK342" s="37"/>
      <c r="AL342" s="37"/>
      <c r="AM342" s="12"/>
      <c r="AN342" s="12"/>
      <c r="AO342" s="12"/>
      <c r="AP342" s="37"/>
      <c r="AQ342" s="37"/>
    </row>
    <row r="343" spans="1:43" ht="24.75">
      <c r="A343" s="21">
        <f>A342+1</f>
        <v>282</v>
      </c>
      <c r="B343" s="27" t="s">
        <v>585</v>
      </c>
      <c r="C343" s="56" t="s">
        <v>586</v>
      </c>
      <c r="D343" s="83" t="s">
        <v>452</v>
      </c>
      <c r="E343" s="84" t="s">
        <v>79</v>
      </c>
      <c r="F343" s="85" t="s">
        <v>351</v>
      </c>
      <c r="G343" s="26">
        <f>417+50</f>
        <v>467</v>
      </c>
      <c r="H343" s="32">
        <f>G343*12</f>
        <v>5604</v>
      </c>
      <c r="I343" s="32">
        <v>60</v>
      </c>
      <c r="J343" s="36"/>
      <c r="K343" s="32">
        <f>G343</f>
        <v>467</v>
      </c>
      <c r="L343" s="32">
        <v>300</v>
      </c>
      <c r="M343" s="37"/>
      <c r="N343" s="24">
        <v>125</v>
      </c>
      <c r="O343" s="24"/>
      <c r="P343" s="12">
        <f>G343*0.0775*13</f>
        <v>470.50250000000005</v>
      </c>
      <c r="Q343" s="12"/>
      <c r="R343" s="12">
        <f>P343/13</f>
        <v>36.192500000000003</v>
      </c>
      <c r="S343" s="12"/>
      <c r="T343" s="12"/>
      <c r="U343" s="12">
        <f>G343*0.075*13</f>
        <v>455.32499999999999</v>
      </c>
      <c r="V343" s="12">
        <f>U343/13</f>
        <v>35.024999999999999</v>
      </c>
      <c r="W343" s="12"/>
      <c r="X343" s="12"/>
      <c r="Y343" s="12">
        <f>P343+S343+U343+W343</f>
        <v>925.8275000000001</v>
      </c>
      <c r="Z343" s="12">
        <f>G343*0.01*13</f>
        <v>60.71</v>
      </c>
      <c r="AA343" s="12">
        <f>Z343/13</f>
        <v>4.67</v>
      </c>
      <c r="AB343" s="12">
        <f>G343/30/7*1.5*45</f>
        <v>150.10714285714286</v>
      </c>
      <c r="AC343" s="12">
        <v>85.72</v>
      </c>
      <c r="AD343" s="12">
        <f>AB343-AC343</f>
        <v>64.387142857142862</v>
      </c>
      <c r="AE343" s="12">
        <f>AB343*0.0775</f>
        <v>11.633303571428572</v>
      </c>
      <c r="AF343" s="12"/>
      <c r="AG343" s="12">
        <f>AB343*0.075</f>
        <v>11.258035714285715</v>
      </c>
      <c r="AH343" s="12"/>
      <c r="AI343" s="12">
        <f>AE343+AF343+AG343+AH343</f>
        <v>22.891339285714288</v>
      </c>
      <c r="AJ343" s="12">
        <f>AB343*0.01</f>
        <v>1.5010714285714286</v>
      </c>
      <c r="AK343" s="37"/>
      <c r="AL343" s="37"/>
      <c r="AM343" s="12"/>
      <c r="AN343" s="12"/>
      <c r="AO343" s="12"/>
      <c r="AP343" s="37"/>
      <c r="AQ343" s="37"/>
    </row>
    <row r="344" spans="1:43" ht="24.75">
      <c r="A344" s="21">
        <f t="shared" ref="A344:A345" si="224">A343+1</f>
        <v>283</v>
      </c>
      <c r="B344" s="27" t="s">
        <v>587</v>
      </c>
      <c r="C344" s="56" t="s">
        <v>588</v>
      </c>
      <c r="D344" s="83" t="s">
        <v>452</v>
      </c>
      <c r="E344" s="84" t="s">
        <v>79</v>
      </c>
      <c r="F344" s="85" t="s">
        <v>351</v>
      </c>
      <c r="G344" s="26">
        <f>554+30+50</f>
        <v>634</v>
      </c>
      <c r="H344" s="32">
        <f>G344*12</f>
        <v>7608</v>
      </c>
      <c r="I344" s="32">
        <v>60</v>
      </c>
      <c r="J344" s="36"/>
      <c r="K344" s="32">
        <f>G344</f>
        <v>634</v>
      </c>
      <c r="L344" s="32">
        <v>300</v>
      </c>
      <c r="M344" s="37"/>
      <c r="N344" s="24">
        <v>125</v>
      </c>
      <c r="O344" s="24"/>
      <c r="P344" s="12">
        <f>G344*0.0775*13</f>
        <v>638.755</v>
      </c>
      <c r="Q344" s="12"/>
      <c r="R344" s="12">
        <f>P344/13</f>
        <v>49.134999999999998</v>
      </c>
      <c r="S344" s="12"/>
      <c r="T344" s="12"/>
      <c r="U344" s="12">
        <f>G344*0.075*13</f>
        <v>618.15</v>
      </c>
      <c r="V344" s="12">
        <f>U344/13</f>
        <v>47.55</v>
      </c>
      <c r="W344" s="12"/>
      <c r="X344" s="12"/>
      <c r="Y344" s="12">
        <f>P344+S344+U344+W344</f>
        <v>1256.905</v>
      </c>
      <c r="Z344" s="12">
        <f>G344*0.01*13</f>
        <v>82.42</v>
      </c>
      <c r="AA344" s="12">
        <f>Z344/13</f>
        <v>6.34</v>
      </c>
      <c r="AB344" s="12">
        <f>G344/30/7*1.5*45</f>
        <v>203.78571428571428</v>
      </c>
      <c r="AC344" s="12"/>
      <c r="AD344" s="12"/>
      <c r="AE344" s="12">
        <f>AB344*0.0775</f>
        <v>15.793392857142857</v>
      </c>
      <c r="AF344" s="12"/>
      <c r="AG344" s="12">
        <f>AB344*0.075</f>
        <v>15.28392857142857</v>
      </c>
      <c r="AH344" s="12"/>
      <c r="AI344" s="12">
        <f>AE344+AF344+AG344+AH344-0.01</f>
        <v>31.067321428571425</v>
      </c>
      <c r="AJ344" s="12">
        <f>AB344*0.01</f>
        <v>2.0378571428571428</v>
      </c>
      <c r="AK344" s="37"/>
      <c r="AL344" s="37"/>
      <c r="AM344" s="12"/>
      <c r="AN344" s="12"/>
      <c r="AO344" s="12"/>
      <c r="AP344" s="37"/>
      <c r="AQ344" s="37"/>
    </row>
    <row r="345" spans="1:43" ht="24.75">
      <c r="A345" s="21">
        <f t="shared" si="224"/>
        <v>284</v>
      </c>
      <c r="B345" s="42" t="s">
        <v>589</v>
      </c>
      <c r="C345" s="56" t="s">
        <v>590</v>
      </c>
      <c r="D345" s="83" t="s">
        <v>452</v>
      </c>
      <c r="E345" s="84" t="s">
        <v>79</v>
      </c>
      <c r="F345" s="85" t="s">
        <v>351</v>
      </c>
      <c r="G345" s="26">
        <f>417</f>
        <v>417</v>
      </c>
      <c r="H345" s="32">
        <f>G345*12</f>
        <v>5004</v>
      </c>
      <c r="I345" s="32">
        <v>60</v>
      </c>
      <c r="J345" s="36"/>
      <c r="K345" s="32">
        <f>G345</f>
        <v>417</v>
      </c>
      <c r="L345" s="32">
        <v>300</v>
      </c>
      <c r="M345" s="37"/>
      <c r="N345" s="24">
        <v>125</v>
      </c>
      <c r="O345" s="24"/>
      <c r="P345" s="12">
        <f>G345*0.0775*13</f>
        <v>420.12750000000005</v>
      </c>
      <c r="Q345" s="9">
        <f>P345/13</f>
        <v>32.317500000000003</v>
      </c>
      <c r="R345" s="12"/>
      <c r="S345" s="12"/>
      <c r="T345" s="12"/>
      <c r="U345" s="12">
        <f>G345*0.075*13</f>
        <v>406.57499999999999</v>
      </c>
      <c r="V345" s="12">
        <f>U345/13</f>
        <v>31.274999999999999</v>
      </c>
      <c r="W345" s="12"/>
      <c r="X345" s="12"/>
      <c r="Y345" s="12">
        <f t="shared" ref="Y345" si="225">P345+S345+U345+W345+0.01</f>
        <v>826.71250000000009</v>
      </c>
      <c r="Z345" s="12">
        <f>G345*0.01*13</f>
        <v>54.21</v>
      </c>
      <c r="AA345" s="12">
        <f>Z345/13</f>
        <v>4.17</v>
      </c>
      <c r="AB345" s="12">
        <f>G345/30/7*1.5*45</f>
        <v>134.03571428571428</v>
      </c>
      <c r="AC345" s="12">
        <v>155.68</v>
      </c>
      <c r="AD345" s="12">
        <f>AB345-AC345</f>
        <v>-21.644285714285729</v>
      </c>
      <c r="AE345" s="12">
        <f>AB345*0.0775</f>
        <v>10.387767857142856</v>
      </c>
      <c r="AF345" s="12"/>
      <c r="AG345" s="12">
        <f>AB345*0.075</f>
        <v>10.05267857142857</v>
      </c>
      <c r="AH345" s="12"/>
      <c r="AI345" s="12">
        <f>AE345+AF345+AG345+AH345</f>
        <v>20.440446428571427</v>
      </c>
      <c r="AJ345" s="12">
        <f>AB345*0.01</f>
        <v>1.3403571428571428</v>
      </c>
      <c r="AK345" s="37"/>
      <c r="AL345" s="37"/>
      <c r="AM345" s="12"/>
      <c r="AN345" s="12"/>
      <c r="AO345" s="12"/>
      <c r="AP345" s="37"/>
      <c r="AQ345" s="37"/>
    </row>
    <row r="346" spans="1:43">
      <c r="A346" s="21"/>
      <c r="B346" s="15"/>
      <c r="C346" s="86" t="s">
        <v>591</v>
      </c>
      <c r="D346" s="100"/>
      <c r="E346" s="84"/>
      <c r="F346" s="85"/>
      <c r="G346" s="87">
        <f t="shared" ref="G346:O346" si="226">SUM(G249:G345)</f>
        <v>54888.240000000013</v>
      </c>
      <c r="H346" s="30">
        <f t="shared" si="226"/>
        <v>658658.87999999989</v>
      </c>
      <c r="I346" s="30">
        <f t="shared" si="226"/>
        <v>5460</v>
      </c>
      <c r="J346" s="30">
        <f t="shared" si="226"/>
        <v>0</v>
      </c>
      <c r="K346" s="30">
        <f t="shared" si="226"/>
        <v>54888.240000000013</v>
      </c>
      <c r="L346" s="30">
        <f t="shared" si="226"/>
        <v>27300</v>
      </c>
      <c r="M346" s="30">
        <f t="shared" si="226"/>
        <v>0</v>
      </c>
      <c r="N346" s="30">
        <f t="shared" si="226"/>
        <v>11375</v>
      </c>
      <c r="O346" s="30">
        <f t="shared" si="226"/>
        <v>0</v>
      </c>
      <c r="P346" s="30">
        <f>SUM(P249:P345)-0.09</f>
        <v>50456.598100000017</v>
      </c>
      <c r="Q346" s="30">
        <f>SUM(Q249:Q345)-0.03</f>
        <v>1652.483125</v>
      </c>
      <c r="R346" s="30">
        <f>SUM(R249:R345)-0.07</f>
        <v>2228.7005750000008</v>
      </c>
      <c r="S346" s="30">
        <f>SUM(S249:S345)</f>
        <v>611.32499999999993</v>
      </c>
      <c r="T346" s="30">
        <f>SUM(T249:T345)</f>
        <v>50.943749999999994</v>
      </c>
      <c r="U346" s="30">
        <f>SUM(U249:U345)+0.34</f>
        <v>53516.373999999931</v>
      </c>
      <c r="V346" s="30">
        <f>SUM(V249:V345)+0.27</f>
        <v>4116.8880000000054</v>
      </c>
      <c r="W346" s="30">
        <f>SUM(W249:W345)+0.01</f>
        <v>3260.5348000000004</v>
      </c>
      <c r="X346" s="30">
        <f>SUM(X249:X345)+0.02</f>
        <v>271.73039999999997</v>
      </c>
      <c r="Y346" s="30">
        <f>SUM(Y249:Y345)+0.09</f>
        <v>107844.8319</v>
      </c>
      <c r="Z346" s="30">
        <f>SUM(Z249:Z345)-0.03</f>
        <v>7135.4411999999993</v>
      </c>
      <c r="AA346" s="30">
        <f>SUM(AA249:AA345)+0.02</f>
        <v>548.90240000000017</v>
      </c>
      <c r="AB346" s="30">
        <f>SUM(AB249:AB345)+0.13</f>
        <v>17466.957142857143</v>
      </c>
      <c r="AC346" s="30">
        <f>SUM(AC249:AC345)</f>
        <v>5836.45</v>
      </c>
      <c r="AD346" s="30">
        <f>SUM(AD249:AD345)</f>
        <v>1892.4032142857145</v>
      </c>
      <c r="AE346" s="30">
        <f>SUM(AE249:AE345)+0.05</f>
        <v>1233.9793142857131</v>
      </c>
      <c r="AF346" s="30">
        <f>SUM(AF249:AF345)</f>
        <v>15.115178571428569</v>
      </c>
      <c r="AG346" s="30">
        <f>SUM(AG249:AG345)+0.14</f>
        <v>1310.1520357142865</v>
      </c>
      <c r="AH346" s="30">
        <f>SUM(AH249:AH345)-0.01</f>
        <v>80.607371428571426</v>
      </c>
      <c r="AI346" s="30">
        <f>SUM(AI249:AI345)-0.16</f>
        <v>2639.8539000000037</v>
      </c>
      <c r="AJ346" s="30">
        <f>SUM(AJ249:AJ345)+0.08</f>
        <v>174.74827142857148</v>
      </c>
      <c r="AK346" s="30">
        <f t="shared" ref="AK346:AQ346" si="227">SUM(AK249:AK345)</f>
        <v>0</v>
      </c>
      <c r="AL346" s="30">
        <f t="shared" si="227"/>
        <v>0</v>
      </c>
      <c r="AM346" s="30">
        <f t="shared" si="227"/>
        <v>0</v>
      </c>
      <c r="AN346" s="30">
        <f t="shared" si="227"/>
        <v>0</v>
      </c>
      <c r="AO346" s="30">
        <f t="shared" si="227"/>
        <v>0</v>
      </c>
      <c r="AP346" s="30">
        <f t="shared" si="227"/>
        <v>0</v>
      </c>
      <c r="AQ346" s="30">
        <f t="shared" si="227"/>
        <v>0</v>
      </c>
    </row>
    <row r="347" spans="1:43">
      <c r="A347" s="21">
        <f>A345+1</f>
        <v>285</v>
      </c>
      <c r="B347" s="27" t="s">
        <v>592</v>
      </c>
      <c r="C347" s="106" t="s">
        <v>593</v>
      </c>
      <c r="D347" s="118" t="s">
        <v>594</v>
      </c>
      <c r="E347" s="121" t="s">
        <v>79</v>
      </c>
      <c r="F347" s="89" t="s">
        <v>351</v>
      </c>
      <c r="G347" s="26">
        <f>650+50+50</f>
        <v>750</v>
      </c>
      <c r="H347" s="32">
        <f>G347*12</f>
        <v>9000</v>
      </c>
      <c r="I347" s="32">
        <v>60</v>
      </c>
      <c r="J347" s="36"/>
      <c r="K347" s="32">
        <f>G347</f>
        <v>750</v>
      </c>
      <c r="L347" s="32">
        <v>300</v>
      </c>
      <c r="M347" s="37"/>
      <c r="N347" s="24">
        <v>125</v>
      </c>
      <c r="O347" s="24"/>
      <c r="P347" s="12">
        <f t="shared" ref="P347:P362" si="228">G347*0.0775*13</f>
        <v>755.625</v>
      </c>
      <c r="Q347" s="9" t="s">
        <v>595</v>
      </c>
      <c r="R347" s="12">
        <f>P347/13</f>
        <v>58.125</v>
      </c>
      <c r="S347" s="12"/>
      <c r="T347" s="12"/>
      <c r="U347" s="12">
        <f>G347*0.075*13</f>
        <v>731.25</v>
      </c>
      <c r="V347" s="12">
        <f>U347/13</f>
        <v>56.25</v>
      </c>
      <c r="W347" s="12"/>
      <c r="X347" s="12"/>
      <c r="Y347" s="12">
        <f t="shared" ref="Y347:Y353" si="229">P347+S347+U347+W347</f>
        <v>1486.875</v>
      </c>
      <c r="Z347" s="12">
        <f>G347*0.01*13</f>
        <v>97.5</v>
      </c>
      <c r="AA347" s="12">
        <f>Z347/13</f>
        <v>7.5</v>
      </c>
      <c r="AB347" s="12">
        <f>G347/30/7*1.5*45</f>
        <v>241.07142857142858</v>
      </c>
      <c r="AC347" s="12"/>
      <c r="AD347" s="12"/>
      <c r="AE347" s="12">
        <f>AB347*0.0775</f>
        <v>18.683035714285715</v>
      </c>
      <c r="AF347" s="12"/>
      <c r="AG347" s="12">
        <f>AB347*0.075</f>
        <v>18.080357142857142</v>
      </c>
      <c r="AH347" s="12"/>
      <c r="AI347" s="12">
        <f>AE347+AF347+AG347+AH347</f>
        <v>36.763392857142861</v>
      </c>
      <c r="AJ347" s="12">
        <f>AB347*0.01</f>
        <v>2.410714285714286</v>
      </c>
      <c r="AK347" s="37"/>
      <c r="AL347" s="37"/>
      <c r="AM347" s="12"/>
      <c r="AN347" s="12"/>
      <c r="AO347" s="12"/>
      <c r="AP347" s="37"/>
      <c r="AQ347" s="37"/>
    </row>
    <row r="348" spans="1:43">
      <c r="A348" s="21">
        <f>A347+1</f>
        <v>286</v>
      </c>
      <c r="B348" s="27" t="s">
        <v>596</v>
      </c>
      <c r="C348" s="122" t="s">
        <v>326</v>
      </c>
      <c r="D348" s="118" t="s">
        <v>594</v>
      </c>
      <c r="E348" s="121" t="s">
        <v>79</v>
      </c>
      <c r="F348" s="89" t="s">
        <v>351</v>
      </c>
      <c r="G348" s="26">
        <f>650+50</f>
        <v>700</v>
      </c>
      <c r="H348" s="32">
        <f>G348*12</f>
        <v>8400</v>
      </c>
      <c r="I348" s="32">
        <v>60</v>
      </c>
      <c r="J348" s="36"/>
      <c r="K348" s="32">
        <f>G348</f>
        <v>700</v>
      </c>
      <c r="L348" s="32">
        <v>300</v>
      </c>
      <c r="M348" s="37"/>
      <c r="N348" s="24">
        <v>125</v>
      </c>
      <c r="O348" s="24"/>
      <c r="P348" s="12">
        <f t="shared" si="228"/>
        <v>705.25</v>
      </c>
      <c r="Q348" s="9">
        <f>P348/13</f>
        <v>54.25</v>
      </c>
      <c r="R348" s="12"/>
      <c r="S348" s="12"/>
      <c r="T348" s="12"/>
      <c r="U348" s="12">
        <f>G348*0.075*13</f>
        <v>682.5</v>
      </c>
      <c r="V348" s="12">
        <f>U348/13</f>
        <v>52.5</v>
      </c>
      <c r="W348" s="12"/>
      <c r="X348" s="12"/>
      <c r="Y348" s="12">
        <f t="shared" si="229"/>
        <v>1387.75</v>
      </c>
      <c r="Z348" s="12">
        <f>G348*0.01*13</f>
        <v>91</v>
      </c>
      <c r="AA348" s="12">
        <f>Z348/13</f>
        <v>7</v>
      </c>
      <c r="AB348" s="12">
        <f>G348/30/7*1.5*45</f>
        <v>225</v>
      </c>
      <c r="AC348" s="12"/>
      <c r="AD348" s="12"/>
      <c r="AE348" s="12">
        <f>AB348*0.0775</f>
        <v>17.4375</v>
      </c>
      <c r="AF348" s="12"/>
      <c r="AG348" s="12">
        <f>AB348*0.075</f>
        <v>16.875</v>
      </c>
      <c r="AH348" s="12"/>
      <c r="AI348" s="12">
        <f>AE348+AF348+AG348+AH348+0.01</f>
        <v>34.322499999999998</v>
      </c>
      <c r="AJ348" s="12">
        <f>AB348*0.01</f>
        <v>2.25</v>
      </c>
      <c r="AK348" s="37"/>
      <c r="AL348" s="37"/>
      <c r="AM348" s="12"/>
      <c r="AN348" s="12"/>
      <c r="AO348" s="12"/>
      <c r="AP348" s="37"/>
      <c r="AQ348" s="37"/>
    </row>
    <row r="349" spans="1:43">
      <c r="A349" s="21">
        <f>A348+1</f>
        <v>287</v>
      </c>
      <c r="B349" s="27" t="s">
        <v>597</v>
      </c>
      <c r="C349" s="123" t="s">
        <v>110</v>
      </c>
      <c r="D349" s="88" t="s">
        <v>594</v>
      </c>
      <c r="E349" s="84" t="s">
        <v>79</v>
      </c>
      <c r="F349" s="85" t="s">
        <v>351</v>
      </c>
      <c r="G349" s="26">
        <f>554+30+50</f>
        <v>634</v>
      </c>
      <c r="H349" s="32">
        <f>G349*12</f>
        <v>7608</v>
      </c>
      <c r="I349" s="32">
        <v>60</v>
      </c>
      <c r="J349" s="36"/>
      <c r="K349" s="32">
        <f>G349</f>
        <v>634</v>
      </c>
      <c r="L349" s="32">
        <v>300</v>
      </c>
      <c r="M349" s="37"/>
      <c r="N349" s="24">
        <v>125</v>
      </c>
      <c r="O349" s="24"/>
      <c r="P349" s="12">
        <f t="shared" si="228"/>
        <v>638.755</v>
      </c>
      <c r="Q349" s="9">
        <f>P349/13</f>
        <v>49.134999999999998</v>
      </c>
      <c r="R349" s="12"/>
      <c r="S349" s="12"/>
      <c r="T349" s="12"/>
      <c r="U349" s="12">
        <f t="shared" ref="U349:U358" si="230">G349*0.075*13</f>
        <v>618.15</v>
      </c>
      <c r="V349" s="12">
        <f t="shared" ref="V349:V362" si="231">U349/13</f>
        <v>47.55</v>
      </c>
      <c r="W349" s="12"/>
      <c r="X349" s="12"/>
      <c r="Y349" s="12">
        <f t="shared" si="229"/>
        <v>1256.905</v>
      </c>
      <c r="Z349" s="12">
        <f t="shared" ref="Z349:Z362" si="232">G349*0.01*13</f>
        <v>82.42</v>
      </c>
      <c r="AA349" s="12">
        <f t="shared" ref="AA349:AA362" si="233">Z349/13</f>
        <v>6.34</v>
      </c>
      <c r="AB349" s="12">
        <f t="shared" ref="AB349:AB358" si="234">G349/30/7*1.5*45</f>
        <v>203.78571428571428</v>
      </c>
      <c r="AC349" s="12"/>
      <c r="AD349" s="12"/>
      <c r="AE349" s="12">
        <f>AB349*0.0775</f>
        <v>15.793392857142857</v>
      </c>
      <c r="AF349" s="12"/>
      <c r="AG349" s="12">
        <f>AB349*0.075</f>
        <v>15.28392857142857</v>
      </c>
      <c r="AH349" s="12"/>
      <c r="AI349" s="12">
        <f>AE349+AF349+AG349+AH349-0.01</f>
        <v>31.067321428571425</v>
      </c>
      <c r="AJ349" s="12">
        <f>AB349*0.01</f>
        <v>2.0378571428571428</v>
      </c>
      <c r="AK349" s="37"/>
      <c r="AL349" s="37"/>
      <c r="AM349" s="12"/>
      <c r="AN349" s="12"/>
      <c r="AO349" s="12"/>
      <c r="AP349" s="37"/>
      <c r="AQ349" s="37"/>
    </row>
    <row r="350" spans="1:43">
      <c r="A350" s="21">
        <f t="shared" ref="A350:A362" si="235">A349+1</f>
        <v>288</v>
      </c>
      <c r="B350" s="27" t="s">
        <v>598</v>
      </c>
      <c r="C350" s="56" t="s">
        <v>143</v>
      </c>
      <c r="D350" s="88" t="s">
        <v>594</v>
      </c>
      <c r="E350" s="84" t="s">
        <v>79</v>
      </c>
      <c r="F350" s="85" t="s">
        <v>351</v>
      </c>
      <c r="G350" s="26">
        <f>467+30+100+50</f>
        <v>647</v>
      </c>
      <c r="H350" s="32">
        <f>G350*12</f>
        <v>7764</v>
      </c>
      <c r="I350" s="32">
        <v>60</v>
      </c>
      <c r="J350" s="36"/>
      <c r="K350" s="32">
        <f>G350</f>
        <v>647</v>
      </c>
      <c r="L350" s="32">
        <v>300</v>
      </c>
      <c r="M350" s="37"/>
      <c r="N350" s="24">
        <v>125</v>
      </c>
      <c r="O350" s="24"/>
      <c r="P350" s="12">
        <f>G350*0.0775*13</f>
        <v>651.85249999999996</v>
      </c>
      <c r="Q350" s="40"/>
      <c r="R350" s="12">
        <f>P350/13</f>
        <v>50.142499999999998</v>
      </c>
      <c r="S350" s="37"/>
      <c r="T350" s="37"/>
      <c r="U350" s="12">
        <f>G350*0.075*13</f>
        <v>630.82499999999993</v>
      </c>
      <c r="V350" s="12">
        <f>U350/13</f>
        <v>48.524999999999991</v>
      </c>
      <c r="W350" s="37"/>
      <c r="X350" s="37"/>
      <c r="Y350" s="12">
        <f>P350+S350+U350+W350</f>
        <v>1282.6774999999998</v>
      </c>
      <c r="Z350" s="12">
        <f>G350*0.01*13</f>
        <v>84.11</v>
      </c>
      <c r="AA350" s="12">
        <f>Z350/13</f>
        <v>6.47</v>
      </c>
      <c r="AB350" s="38"/>
      <c r="AC350" s="38"/>
      <c r="AD350" s="38"/>
      <c r="AE350" s="38"/>
      <c r="AF350" s="37"/>
      <c r="AG350" s="37"/>
      <c r="AH350" s="37"/>
      <c r="AI350" s="12"/>
      <c r="AJ350" s="38"/>
      <c r="AK350" s="38"/>
      <c r="AL350" s="38"/>
      <c r="AM350" s="12"/>
      <c r="AN350" s="12"/>
      <c r="AO350" s="12"/>
      <c r="AP350" s="38"/>
      <c r="AQ350" s="37"/>
    </row>
    <row r="351" spans="1:43">
      <c r="A351" s="21">
        <f t="shared" si="235"/>
        <v>289</v>
      </c>
      <c r="B351" s="27" t="s">
        <v>599</v>
      </c>
      <c r="C351" s="56" t="s">
        <v>600</v>
      </c>
      <c r="D351" s="88" t="s">
        <v>594</v>
      </c>
      <c r="E351" s="84" t="s">
        <v>79</v>
      </c>
      <c r="F351" s="85" t="s">
        <v>351</v>
      </c>
      <c r="G351" s="26">
        <f>612+30+50</f>
        <v>692</v>
      </c>
      <c r="H351" s="32">
        <f>G351*12</f>
        <v>8304</v>
      </c>
      <c r="I351" s="32">
        <v>60</v>
      </c>
      <c r="J351" s="36"/>
      <c r="K351" s="32">
        <f>G351</f>
        <v>692</v>
      </c>
      <c r="L351" s="32">
        <v>300</v>
      </c>
      <c r="M351" s="37"/>
      <c r="N351" s="24">
        <v>125</v>
      </c>
      <c r="O351" s="24"/>
      <c r="P351" s="12">
        <f t="shared" si="228"/>
        <v>697.19</v>
      </c>
      <c r="Q351" s="9">
        <f>P351/13</f>
        <v>53.63</v>
      </c>
      <c r="R351" s="12"/>
      <c r="S351" s="37"/>
      <c r="T351" s="37"/>
      <c r="U351" s="12">
        <f>G351*0.075*13</f>
        <v>674.69999999999993</v>
      </c>
      <c r="V351" s="12">
        <f>U351/13</f>
        <v>51.899999999999991</v>
      </c>
      <c r="W351" s="37"/>
      <c r="X351" s="37"/>
      <c r="Y351" s="12">
        <f>P351+S351+U351+W351</f>
        <v>1371.8899999999999</v>
      </c>
      <c r="Z351" s="12">
        <f>G351*0.01*13</f>
        <v>89.96</v>
      </c>
      <c r="AA351" s="12">
        <f>Z351/13</f>
        <v>6.92</v>
      </c>
      <c r="AB351" s="12">
        <f>G351/30/7*1.5*45</f>
        <v>222.42857142857144</v>
      </c>
      <c r="AC351" s="12"/>
      <c r="AD351" s="12"/>
      <c r="AE351" s="12">
        <f>AB351*0.0775</f>
        <v>17.238214285714285</v>
      </c>
      <c r="AF351" s="12"/>
      <c r="AG351" s="12">
        <f>AB351*0.075</f>
        <v>16.682142857142857</v>
      </c>
      <c r="AH351" s="12"/>
      <c r="AI351" s="12">
        <f>AE351+AF351+AG351+AH351</f>
        <v>33.920357142857142</v>
      </c>
      <c r="AJ351" s="12">
        <f>AB351*0.01</f>
        <v>2.2242857142857146</v>
      </c>
      <c r="AK351" s="38"/>
      <c r="AL351" s="38"/>
      <c r="AM351" s="12"/>
      <c r="AN351" s="12"/>
      <c r="AO351" s="12"/>
      <c r="AP351" s="38"/>
      <c r="AQ351" s="37"/>
    </row>
    <row r="352" spans="1:43">
      <c r="A352" s="21">
        <f t="shared" si="235"/>
        <v>290</v>
      </c>
      <c r="B352" s="27" t="s">
        <v>601</v>
      </c>
      <c r="C352" s="56" t="s">
        <v>600</v>
      </c>
      <c r="D352" s="88" t="s">
        <v>594</v>
      </c>
      <c r="E352" s="84" t="s">
        <v>79</v>
      </c>
      <c r="F352" s="85" t="s">
        <v>351</v>
      </c>
      <c r="G352" s="26">
        <f>554+30+50</f>
        <v>634</v>
      </c>
      <c r="H352" s="32">
        <f t="shared" ref="H352:H362" si="236">G352*12</f>
        <v>7608</v>
      </c>
      <c r="I352" s="32">
        <v>60</v>
      </c>
      <c r="J352" s="36"/>
      <c r="K352" s="32">
        <f t="shared" ref="K352:K362" si="237">G352</f>
        <v>634</v>
      </c>
      <c r="L352" s="32">
        <v>300</v>
      </c>
      <c r="M352" s="37"/>
      <c r="N352" s="24">
        <v>125</v>
      </c>
      <c r="O352" s="24"/>
      <c r="P352" s="12">
        <f t="shared" si="228"/>
        <v>638.755</v>
      </c>
      <c r="Q352" s="40"/>
      <c r="R352" s="12">
        <f>P352/13</f>
        <v>49.134999999999998</v>
      </c>
      <c r="S352" s="12"/>
      <c r="T352" s="12"/>
      <c r="U352" s="12">
        <f t="shared" si="230"/>
        <v>618.15</v>
      </c>
      <c r="V352" s="12">
        <f t="shared" si="231"/>
        <v>47.55</v>
      </c>
      <c r="W352" s="12"/>
      <c r="X352" s="12"/>
      <c r="Y352" s="12">
        <f t="shared" si="229"/>
        <v>1256.905</v>
      </c>
      <c r="Z352" s="12">
        <f t="shared" si="232"/>
        <v>82.42</v>
      </c>
      <c r="AA352" s="12">
        <f t="shared" si="233"/>
        <v>6.34</v>
      </c>
      <c r="AB352" s="12">
        <f t="shared" si="234"/>
        <v>203.78571428571428</v>
      </c>
      <c r="AC352" s="12">
        <v>27.66</v>
      </c>
      <c r="AD352" s="12">
        <f>AB352-AC352</f>
        <v>176.12571428571428</v>
      </c>
      <c r="AE352" s="12">
        <f t="shared" ref="AE352:AE362" si="238">AB352*0.0775</f>
        <v>15.793392857142857</v>
      </c>
      <c r="AF352" s="12"/>
      <c r="AG352" s="12">
        <f t="shared" ref="AG352:AG362" si="239">AB352*0.075</f>
        <v>15.28392857142857</v>
      </c>
      <c r="AH352" s="12"/>
      <c r="AI352" s="12">
        <f>AE352+AF352+AG352+AH352-0.01</f>
        <v>31.067321428571425</v>
      </c>
      <c r="AJ352" s="12">
        <f t="shared" ref="AJ352:AJ362" si="240">AB352*0.01</f>
        <v>2.0378571428571428</v>
      </c>
      <c r="AK352" s="37"/>
      <c r="AL352" s="37"/>
      <c r="AM352" s="12"/>
      <c r="AN352" s="12"/>
      <c r="AO352" s="12"/>
      <c r="AP352" s="37"/>
      <c r="AQ352" s="37"/>
    </row>
    <row r="353" spans="1:43">
      <c r="A353" s="21">
        <f t="shared" si="235"/>
        <v>291</v>
      </c>
      <c r="B353" s="27" t="s">
        <v>602</v>
      </c>
      <c r="C353" s="56" t="s">
        <v>600</v>
      </c>
      <c r="D353" s="88" t="s">
        <v>594</v>
      </c>
      <c r="E353" s="84" t="s">
        <v>79</v>
      </c>
      <c r="F353" s="85" t="s">
        <v>351</v>
      </c>
      <c r="G353" s="26">
        <f>554+30+50</f>
        <v>634</v>
      </c>
      <c r="H353" s="32">
        <f t="shared" si="236"/>
        <v>7608</v>
      </c>
      <c r="I353" s="32">
        <v>60</v>
      </c>
      <c r="J353" s="36"/>
      <c r="K353" s="32">
        <f t="shared" si="237"/>
        <v>634</v>
      </c>
      <c r="L353" s="32">
        <v>300</v>
      </c>
      <c r="M353" s="37"/>
      <c r="N353" s="24">
        <v>125</v>
      </c>
      <c r="O353" s="24"/>
      <c r="P353" s="12">
        <f t="shared" si="228"/>
        <v>638.755</v>
      </c>
      <c r="Q353" s="9">
        <f t="shared" ref="Q353:Q358" si="241">P353/13</f>
        <v>49.134999999999998</v>
      </c>
      <c r="R353" s="12"/>
      <c r="S353" s="12"/>
      <c r="T353" s="12"/>
      <c r="U353" s="12">
        <f t="shared" si="230"/>
        <v>618.15</v>
      </c>
      <c r="V353" s="12">
        <f t="shared" si="231"/>
        <v>47.55</v>
      </c>
      <c r="W353" s="12"/>
      <c r="X353" s="12"/>
      <c r="Y353" s="12">
        <f t="shared" si="229"/>
        <v>1256.905</v>
      </c>
      <c r="Z353" s="12">
        <f t="shared" si="232"/>
        <v>82.42</v>
      </c>
      <c r="AA353" s="12">
        <f t="shared" si="233"/>
        <v>6.34</v>
      </c>
      <c r="AB353" s="12">
        <f t="shared" si="234"/>
        <v>203.78571428571428</v>
      </c>
      <c r="AC353" s="12">
        <v>82.97</v>
      </c>
      <c r="AD353" s="12">
        <f>AB353-AC353</f>
        <v>120.81571428571428</v>
      </c>
      <c r="AE353" s="12">
        <f t="shared" si="238"/>
        <v>15.793392857142857</v>
      </c>
      <c r="AF353" s="12"/>
      <c r="AG353" s="12">
        <f t="shared" si="239"/>
        <v>15.28392857142857</v>
      </c>
      <c r="AH353" s="12"/>
      <c r="AI353" s="12">
        <f>AE353+AF353+AG353+AH353-0.01</f>
        <v>31.067321428571425</v>
      </c>
      <c r="AJ353" s="12">
        <f t="shared" si="240"/>
        <v>2.0378571428571428</v>
      </c>
      <c r="AK353" s="37"/>
      <c r="AL353" s="37"/>
      <c r="AM353" s="12"/>
      <c r="AN353" s="12"/>
      <c r="AO353" s="12"/>
      <c r="AP353" s="37"/>
      <c r="AQ353" s="37"/>
    </row>
    <row r="354" spans="1:43">
      <c r="A354" s="21">
        <f t="shared" si="235"/>
        <v>292</v>
      </c>
      <c r="B354" s="45" t="s">
        <v>603</v>
      </c>
      <c r="C354" s="56" t="s">
        <v>604</v>
      </c>
      <c r="D354" s="88" t="s">
        <v>594</v>
      </c>
      <c r="E354" s="84" t="s">
        <v>79</v>
      </c>
      <c r="F354" s="85" t="s">
        <v>351</v>
      </c>
      <c r="G354" s="26">
        <v>467</v>
      </c>
      <c r="H354" s="32">
        <f>G354*12</f>
        <v>5604</v>
      </c>
      <c r="I354" s="32">
        <v>60</v>
      </c>
      <c r="J354" s="36"/>
      <c r="K354" s="32">
        <f>G354</f>
        <v>467</v>
      </c>
      <c r="L354" s="32">
        <v>300</v>
      </c>
      <c r="M354" s="37"/>
      <c r="N354" s="24">
        <v>125</v>
      </c>
      <c r="O354" s="24"/>
      <c r="P354" s="12">
        <f>G354*0.0775*13</f>
        <v>470.50250000000005</v>
      </c>
      <c r="Q354" s="12"/>
      <c r="R354" s="12">
        <f>P354/13</f>
        <v>36.192500000000003</v>
      </c>
      <c r="S354" s="37"/>
      <c r="T354" s="37"/>
      <c r="U354" s="12">
        <f>G354*0.075*13</f>
        <v>455.32499999999999</v>
      </c>
      <c r="V354" s="12">
        <f>U354/13</f>
        <v>35.024999999999999</v>
      </c>
      <c r="W354" s="37"/>
      <c r="X354" s="37"/>
      <c r="Y354" s="12">
        <f>P354+S354+U354+W354</f>
        <v>925.8275000000001</v>
      </c>
      <c r="Z354" s="12">
        <f>G354*0.01*13</f>
        <v>60.71</v>
      </c>
      <c r="AA354" s="12">
        <f>Z354/13</f>
        <v>4.67</v>
      </c>
      <c r="AB354" s="38"/>
      <c r="AC354" s="38"/>
      <c r="AD354" s="38"/>
      <c r="AE354" s="38"/>
      <c r="AF354" s="37"/>
      <c r="AG354" s="38"/>
      <c r="AH354" s="37"/>
      <c r="AI354" s="12"/>
      <c r="AJ354" s="38"/>
      <c r="AK354" s="38"/>
      <c r="AL354" s="38"/>
      <c r="AM354" s="12"/>
      <c r="AN354" s="12"/>
      <c r="AO354" s="12"/>
      <c r="AP354" s="38"/>
      <c r="AQ354" s="37"/>
    </row>
    <row r="355" spans="1:43">
      <c r="A355" s="21">
        <f t="shared" si="235"/>
        <v>293</v>
      </c>
      <c r="B355" s="45" t="s">
        <v>605</v>
      </c>
      <c r="C355" s="56" t="s">
        <v>606</v>
      </c>
      <c r="D355" s="88" t="s">
        <v>594</v>
      </c>
      <c r="E355" s="84" t="s">
        <v>79</v>
      </c>
      <c r="F355" s="85" t="s">
        <v>351</v>
      </c>
      <c r="G355" s="26">
        <v>417</v>
      </c>
      <c r="H355" s="32">
        <f t="shared" ref="H355" si="242">G355*12</f>
        <v>5004</v>
      </c>
      <c r="I355" s="32">
        <v>60</v>
      </c>
      <c r="J355" s="36"/>
      <c r="K355" s="32">
        <f t="shared" ref="K355" si="243">G355</f>
        <v>417</v>
      </c>
      <c r="L355" s="32">
        <v>300</v>
      </c>
      <c r="M355" s="37"/>
      <c r="N355" s="24">
        <v>125</v>
      </c>
      <c r="O355" s="24"/>
      <c r="P355" s="12">
        <f t="shared" ref="P355" si="244">G355*0.0775*13</f>
        <v>420.12750000000005</v>
      </c>
      <c r="Q355" s="9"/>
      <c r="R355" s="12">
        <f>P355/13</f>
        <v>32.317500000000003</v>
      </c>
      <c r="S355" s="12"/>
      <c r="T355" s="12"/>
      <c r="U355" s="12">
        <f t="shared" ref="U355" si="245">G355*0.075*13</f>
        <v>406.57499999999999</v>
      </c>
      <c r="V355" s="12">
        <f t="shared" ref="V355" si="246">U355/13</f>
        <v>31.274999999999999</v>
      </c>
      <c r="W355" s="12"/>
      <c r="X355" s="12"/>
      <c r="Y355" s="12">
        <f>P355+S355+U355+W355+0.01</f>
        <v>826.71250000000009</v>
      </c>
      <c r="Z355" s="12">
        <f t="shared" ref="Z355" si="247">G355*0.01*13</f>
        <v>54.21</v>
      </c>
      <c r="AA355" s="12">
        <f t="shared" ref="AA355" si="248">Z355/13</f>
        <v>4.17</v>
      </c>
      <c r="AB355" s="38"/>
      <c r="AC355" s="38"/>
      <c r="AD355" s="38"/>
      <c r="AE355" s="38"/>
      <c r="AF355" s="37"/>
      <c r="AG355" s="38"/>
      <c r="AH355" s="37"/>
      <c r="AI355" s="12"/>
      <c r="AJ355" s="38"/>
      <c r="AK355" s="38"/>
      <c r="AL355" s="38"/>
      <c r="AM355" s="12"/>
      <c r="AN355" s="12"/>
      <c r="AO355" s="12"/>
      <c r="AP355" s="38"/>
      <c r="AQ355" s="37"/>
    </row>
    <row r="356" spans="1:43">
      <c r="A356" s="21">
        <f t="shared" si="235"/>
        <v>294</v>
      </c>
      <c r="B356" s="113" t="s">
        <v>607</v>
      </c>
      <c r="C356" s="56" t="s">
        <v>606</v>
      </c>
      <c r="D356" s="88" t="s">
        <v>594</v>
      </c>
      <c r="E356" s="84" t="s">
        <v>79</v>
      </c>
      <c r="F356" s="85" t="s">
        <v>351</v>
      </c>
      <c r="G356" s="26">
        <v>417</v>
      </c>
      <c r="H356" s="32">
        <f>G356*12</f>
        <v>5004</v>
      </c>
      <c r="I356" s="32">
        <v>60</v>
      </c>
      <c r="J356" s="36"/>
      <c r="K356" s="32">
        <f>G356</f>
        <v>417</v>
      </c>
      <c r="L356" s="32">
        <v>300</v>
      </c>
      <c r="M356" s="37"/>
      <c r="N356" s="24">
        <v>125</v>
      </c>
      <c r="O356" s="24"/>
      <c r="P356" s="12">
        <f>G356*0.0775*13</f>
        <v>420.12750000000005</v>
      </c>
      <c r="Q356" s="9">
        <f>P356/13</f>
        <v>32.317500000000003</v>
      </c>
      <c r="R356" s="12"/>
      <c r="S356" s="12"/>
      <c r="T356" s="12"/>
      <c r="U356" s="12">
        <f>G356*0.075*13</f>
        <v>406.57499999999999</v>
      </c>
      <c r="V356" s="12">
        <f>U356/13</f>
        <v>31.274999999999999</v>
      </c>
      <c r="W356" s="12"/>
      <c r="X356" s="12"/>
      <c r="Y356" s="12">
        <f>P356+S356+U356+W356</f>
        <v>826.7025000000001</v>
      </c>
      <c r="Z356" s="12">
        <f>G356*0.01*13</f>
        <v>54.21</v>
      </c>
      <c r="AA356" s="12">
        <f>Z356/13</f>
        <v>4.17</v>
      </c>
      <c r="AB356" s="12">
        <f>G356/30/7*1.5*45-0.01</f>
        <v>134.02571428571429</v>
      </c>
      <c r="AC356" s="12">
        <v>157.63</v>
      </c>
      <c r="AD356" s="12">
        <f t="shared" ref="AD356:AD362" si="249">AB356-AC356</f>
        <v>-23.604285714285709</v>
      </c>
      <c r="AE356" s="12">
        <f>AB356*0.0775</f>
        <v>10.386992857142857</v>
      </c>
      <c r="AF356" s="12"/>
      <c r="AG356" s="12">
        <f>AB356*0.075</f>
        <v>10.05192857142857</v>
      </c>
      <c r="AH356" s="12"/>
      <c r="AI356" s="12">
        <f>AE356+AF356+AG356+AH356</f>
        <v>20.438921428571426</v>
      </c>
      <c r="AJ356" s="12">
        <f>AB356*0.01</f>
        <v>1.3402571428571428</v>
      </c>
      <c r="AK356" s="37"/>
      <c r="AL356" s="37"/>
      <c r="AM356" s="12"/>
      <c r="AN356" s="12"/>
      <c r="AO356" s="12"/>
      <c r="AP356" s="37"/>
      <c r="AQ356" s="37"/>
    </row>
    <row r="357" spans="1:43">
      <c r="A357" s="21">
        <f t="shared" si="235"/>
        <v>295</v>
      </c>
      <c r="B357" s="27" t="s">
        <v>608</v>
      </c>
      <c r="C357" s="56" t="s">
        <v>551</v>
      </c>
      <c r="D357" s="88" t="s">
        <v>594</v>
      </c>
      <c r="E357" s="84" t="s">
        <v>79</v>
      </c>
      <c r="F357" s="85" t="s">
        <v>351</v>
      </c>
      <c r="G357" s="26">
        <f>467+30+50</f>
        <v>547</v>
      </c>
      <c r="H357" s="32">
        <f>G357*12</f>
        <v>6564</v>
      </c>
      <c r="I357" s="32">
        <v>60</v>
      </c>
      <c r="J357" s="36"/>
      <c r="K357" s="32">
        <f>G357</f>
        <v>547</v>
      </c>
      <c r="L357" s="32">
        <v>300</v>
      </c>
      <c r="M357" s="37"/>
      <c r="N357" s="24">
        <v>125</v>
      </c>
      <c r="O357" s="24"/>
      <c r="P357" s="12">
        <f t="shared" si="228"/>
        <v>551.10249999999996</v>
      </c>
      <c r="Q357" s="9">
        <f t="shared" si="241"/>
        <v>42.392499999999998</v>
      </c>
      <c r="R357" s="12"/>
      <c r="S357" s="12"/>
      <c r="T357" s="12"/>
      <c r="U357" s="12">
        <f t="shared" si="230"/>
        <v>533.32499999999993</v>
      </c>
      <c r="V357" s="12">
        <f t="shared" si="231"/>
        <v>41.024999999999991</v>
      </c>
      <c r="W357" s="12"/>
      <c r="X357" s="12"/>
      <c r="Y357" s="12">
        <f t="shared" ref="Y357:Y358" si="250">P357+S357+U357+W357</f>
        <v>1084.4274999999998</v>
      </c>
      <c r="Z357" s="12">
        <f t="shared" si="232"/>
        <v>71.11</v>
      </c>
      <c r="AA357" s="12">
        <f t="shared" si="233"/>
        <v>5.47</v>
      </c>
      <c r="AB357" s="12">
        <f t="shared" si="234"/>
        <v>175.82142857142858</v>
      </c>
      <c r="AC357" s="12">
        <v>90.74</v>
      </c>
      <c r="AD357" s="12">
        <f t="shared" si="249"/>
        <v>85.081428571428589</v>
      </c>
      <c r="AE357" s="12">
        <f t="shared" si="238"/>
        <v>13.626160714285716</v>
      </c>
      <c r="AF357" s="12"/>
      <c r="AG357" s="12">
        <f>AB357*0.075</f>
        <v>13.186607142857143</v>
      </c>
      <c r="AH357" s="12"/>
      <c r="AI357" s="12">
        <f>AE357+AF357+AG357+AH357+0.01</f>
        <v>26.82276785714286</v>
      </c>
      <c r="AJ357" s="12">
        <f>AB357*0.01</f>
        <v>1.758214285714286</v>
      </c>
      <c r="AK357" s="37"/>
      <c r="AL357" s="37"/>
      <c r="AM357" s="12"/>
      <c r="AN357" s="12"/>
      <c r="AO357" s="12"/>
      <c r="AP357" s="37"/>
      <c r="AQ357" s="37"/>
    </row>
    <row r="358" spans="1:43">
      <c r="A358" s="21">
        <f t="shared" si="235"/>
        <v>296</v>
      </c>
      <c r="B358" s="27" t="s">
        <v>609</v>
      </c>
      <c r="C358" s="56" t="s">
        <v>551</v>
      </c>
      <c r="D358" s="88" t="s">
        <v>594</v>
      </c>
      <c r="E358" s="84" t="s">
        <v>79</v>
      </c>
      <c r="F358" s="85" t="s">
        <v>351</v>
      </c>
      <c r="G358" s="26">
        <f>467+30+50</f>
        <v>547</v>
      </c>
      <c r="H358" s="32">
        <f t="shared" si="236"/>
        <v>6564</v>
      </c>
      <c r="I358" s="32">
        <v>60</v>
      </c>
      <c r="J358" s="36"/>
      <c r="K358" s="32">
        <f t="shared" si="237"/>
        <v>547</v>
      </c>
      <c r="L358" s="32">
        <v>300</v>
      </c>
      <c r="M358" s="37"/>
      <c r="N358" s="24">
        <v>125</v>
      </c>
      <c r="O358" s="24"/>
      <c r="P358" s="12">
        <f t="shared" si="228"/>
        <v>551.10249999999996</v>
      </c>
      <c r="Q358" s="9">
        <f t="shared" si="241"/>
        <v>42.392499999999998</v>
      </c>
      <c r="R358" s="12"/>
      <c r="S358" s="12"/>
      <c r="T358" s="12"/>
      <c r="U358" s="12">
        <f t="shared" si="230"/>
        <v>533.32499999999993</v>
      </c>
      <c r="V358" s="12">
        <f t="shared" si="231"/>
        <v>41.024999999999991</v>
      </c>
      <c r="W358" s="12"/>
      <c r="X358" s="12"/>
      <c r="Y358" s="12">
        <f t="shared" si="250"/>
        <v>1084.4274999999998</v>
      </c>
      <c r="Z358" s="12">
        <f t="shared" si="232"/>
        <v>71.11</v>
      </c>
      <c r="AA358" s="12">
        <f t="shared" si="233"/>
        <v>5.47</v>
      </c>
      <c r="AB358" s="12">
        <f t="shared" si="234"/>
        <v>175.82142857142858</v>
      </c>
      <c r="AC358" s="12">
        <v>113.43</v>
      </c>
      <c r="AD358" s="12">
        <f t="shared" si="249"/>
        <v>62.391428571428577</v>
      </c>
      <c r="AE358" s="12">
        <f t="shared" si="238"/>
        <v>13.626160714285716</v>
      </c>
      <c r="AF358" s="12"/>
      <c r="AG358" s="12">
        <f t="shared" si="239"/>
        <v>13.186607142857143</v>
      </c>
      <c r="AH358" s="12"/>
      <c r="AI358" s="12">
        <f>AE358+AF358+AG358+AH358+0.01</f>
        <v>26.82276785714286</v>
      </c>
      <c r="AJ358" s="12">
        <f t="shared" si="240"/>
        <v>1.758214285714286</v>
      </c>
      <c r="AK358" s="37"/>
      <c r="AL358" s="37"/>
      <c r="AM358" s="12"/>
      <c r="AN358" s="12"/>
      <c r="AO358" s="12"/>
      <c r="AP358" s="37"/>
      <c r="AQ358" s="37"/>
    </row>
    <row r="359" spans="1:43">
      <c r="A359" s="21">
        <f t="shared" si="235"/>
        <v>297</v>
      </c>
      <c r="B359" s="27" t="s">
        <v>610</v>
      </c>
      <c r="C359" s="56" t="s">
        <v>551</v>
      </c>
      <c r="D359" s="88" t="s">
        <v>594</v>
      </c>
      <c r="E359" s="84" t="s">
        <v>79</v>
      </c>
      <c r="F359" s="85" t="s">
        <v>351</v>
      </c>
      <c r="G359" s="26">
        <f t="shared" si="189"/>
        <v>547</v>
      </c>
      <c r="H359" s="32">
        <f>G359*12</f>
        <v>6564</v>
      </c>
      <c r="I359" s="32">
        <v>60</v>
      </c>
      <c r="J359" s="36"/>
      <c r="K359" s="32">
        <f>G359</f>
        <v>547</v>
      </c>
      <c r="L359" s="32">
        <v>300</v>
      </c>
      <c r="M359" s="37"/>
      <c r="N359" s="24">
        <v>125</v>
      </c>
      <c r="O359" s="24"/>
      <c r="P359" s="12">
        <f>G359*0.0775*13</f>
        <v>551.10249999999996</v>
      </c>
      <c r="Q359" s="9">
        <f>P359/13</f>
        <v>42.392499999999998</v>
      </c>
      <c r="R359" s="12"/>
      <c r="S359" s="12"/>
      <c r="T359" s="12"/>
      <c r="U359" s="12">
        <f>G359*0.075*13</f>
        <v>533.32499999999993</v>
      </c>
      <c r="V359" s="12">
        <f>U359/13</f>
        <v>41.024999999999991</v>
      </c>
      <c r="W359" s="12"/>
      <c r="X359" s="12"/>
      <c r="Y359" s="12">
        <f>P359+S359+U359+W359</f>
        <v>1084.4274999999998</v>
      </c>
      <c r="Z359" s="12">
        <f>G359*0.01*13</f>
        <v>71.11</v>
      </c>
      <c r="AA359" s="12">
        <f>Z359/13</f>
        <v>5.47</v>
      </c>
      <c r="AB359" s="12">
        <f>G359/30/7*1.5*45</f>
        <v>175.82142857142858</v>
      </c>
      <c r="AC359" s="12">
        <v>113.43</v>
      </c>
      <c r="AD359" s="12">
        <f t="shared" si="249"/>
        <v>62.391428571428577</v>
      </c>
      <c r="AE359" s="12">
        <f>AB359*0.0775</f>
        <v>13.626160714285716</v>
      </c>
      <c r="AF359" s="12"/>
      <c r="AG359" s="12">
        <f>AB359*0.075</f>
        <v>13.186607142857143</v>
      </c>
      <c r="AH359" s="12"/>
      <c r="AI359" s="12">
        <f>AE359+AF359+AG359+AH359+0.01</f>
        <v>26.82276785714286</v>
      </c>
      <c r="AJ359" s="12">
        <f>AB359*0.01</f>
        <v>1.758214285714286</v>
      </c>
      <c r="AK359" s="37"/>
      <c r="AL359" s="37"/>
      <c r="AM359" s="12"/>
      <c r="AN359" s="12"/>
      <c r="AO359" s="12"/>
      <c r="AP359" s="37"/>
      <c r="AQ359" s="37"/>
    </row>
    <row r="360" spans="1:43">
      <c r="A360" s="21">
        <f t="shared" si="235"/>
        <v>298</v>
      </c>
      <c r="B360" s="27" t="s">
        <v>611</v>
      </c>
      <c r="C360" s="56" t="s">
        <v>554</v>
      </c>
      <c r="D360" s="88" t="s">
        <v>594</v>
      </c>
      <c r="E360" s="84" t="s">
        <v>79</v>
      </c>
      <c r="F360" s="85" t="s">
        <v>351</v>
      </c>
      <c r="G360" s="26">
        <f>417+30+50</f>
        <v>497</v>
      </c>
      <c r="H360" s="32">
        <f>G360*12</f>
        <v>5964</v>
      </c>
      <c r="I360" s="32">
        <v>60</v>
      </c>
      <c r="J360" s="36"/>
      <c r="K360" s="32">
        <f>G360</f>
        <v>497</v>
      </c>
      <c r="L360" s="32">
        <v>300</v>
      </c>
      <c r="M360" s="37"/>
      <c r="N360" s="24">
        <v>125</v>
      </c>
      <c r="O360" s="24"/>
      <c r="P360" s="12">
        <f>G360*0.0775*13</f>
        <v>500.72749999999996</v>
      </c>
      <c r="Q360" s="9">
        <f>P360/13</f>
        <v>38.517499999999998</v>
      </c>
      <c r="R360" s="12"/>
      <c r="S360" s="12"/>
      <c r="T360" s="12"/>
      <c r="U360" s="12">
        <f>G360*0.075*13</f>
        <v>484.57499999999999</v>
      </c>
      <c r="V360" s="12">
        <f>U360/13</f>
        <v>37.274999999999999</v>
      </c>
      <c r="W360" s="12"/>
      <c r="X360" s="12"/>
      <c r="Y360" s="12">
        <f>P360+S360+U360+W360+0.01</f>
        <v>985.3125</v>
      </c>
      <c r="Z360" s="12">
        <f>G360*0.01*13</f>
        <v>64.61</v>
      </c>
      <c r="AA360" s="12">
        <f>Z360/13</f>
        <v>4.97</v>
      </c>
      <c r="AB360" s="12">
        <f>G360/30/7*1.5*45</f>
        <v>159.75</v>
      </c>
      <c r="AC360" s="12">
        <v>99.14</v>
      </c>
      <c r="AD360" s="12">
        <f t="shared" si="249"/>
        <v>60.61</v>
      </c>
      <c r="AE360" s="12">
        <f>AB360*0.0775</f>
        <v>12.380625</v>
      </c>
      <c r="AF360" s="12"/>
      <c r="AG360" s="12">
        <f>AB360*0.075</f>
        <v>11.981249999999999</v>
      </c>
      <c r="AH360" s="12"/>
      <c r="AI360" s="12">
        <f>AE360+AF360+AG360+AH360</f>
        <v>24.361874999999998</v>
      </c>
      <c r="AJ360" s="12">
        <f>AB360*0.01</f>
        <v>1.5975000000000001</v>
      </c>
      <c r="AK360" s="37"/>
      <c r="AL360" s="37"/>
      <c r="AM360" s="12"/>
      <c r="AN360" s="12"/>
      <c r="AO360" s="12"/>
      <c r="AP360" s="37"/>
      <c r="AQ360" s="37"/>
    </row>
    <row r="361" spans="1:43">
      <c r="A361" s="21">
        <f t="shared" si="235"/>
        <v>299</v>
      </c>
      <c r="B361" s="27" t="s">
        <v>612</v>
      </c>
      <c r="C361" s="51" t="s">
        <v>613</v>
      </c>
      <c r="D361" s="88" t="s">
        <v>594</v>
      </c>
      <c r="E361" s="84" t="s">
        <v>79</v>
      </c>
      <c r="F361" s="85" t="s">
        <v>351</v>
      </c>
      <c r="G361" s="26">
        <v>417</v>
      </c>
      <c r="H361" s="32">
        <f>G361*12</f>
        <v>5004</v>
      </c>
      <c r="I361" s="32">
        <v>60</v>
      </c>
      <c r="J361" s="36"/>
      <c r="K361" s="32">
        <f>G361</f>
        <v>417</v>
      </c>
      <c r="L361" s="32">
        <v>300</v>
      </c>
      <c r="M361" s="37"/>
      <c r="N361" s="24">
        <v>125</v>
      </c>
      <c r="O361" s="24"/>
      <c r="P361" s="12">
        <f>G361*0.0775*13</f>
        <v>420.12750000000005</v>
      </c>
      <c r="Q361" s="9"/>
      <c r="R361" s="12">
        <f>P361/13</f>
        <v>32.317500000000003</v>
      </c>
      <c r="S361" s="12"/>
      <c r="T361" s="12"/>
      <c r="U361" s="12">
        <f>G361*0.075*13</f>
        <v>406.57499999999999</v>
      </c>
      <c r="V361" s="12">
        <f>U361/13</f>
        <v>31.274999999999999</v>
      </c>
      <c r="W361" s="12"/>
      <c r="X361" s="12"/>
      <c r="Y361" s="12">
        <f>P361+S361+U361+W361+0.01</f>
        <v>826.71250000000009</v>
      </c>
      <c r="Z361" s="12">
        <f>G361*0.01*13</f>
        <v>54.21</v>
      </c>
      <c r="AA361" s="12">
        <f>Z361/13</f>
        <v>4.17</v>
      </c>
      <c r="AB361" s="12">
        <f>G361/30/7*1.5*45</f>
        <v>134.03571428571428</v>
      </c>
      <c r="AC361" s="12">
        <v>99.14</v>
      </c>
      <c r="AD361" s="12">
        <f t="shared" si="249"/>
        <v>34.895714285714277</v>
      </c>
      <c r="AE361" s="12">
        <f>AB361*0.0775</f>
        <v>10.387767857142856</v>
      </c>
      <c r="AF361" s="12"/>
      <c r="AG361" s="12">
        <f>AB361*0.075</f>
        <v>10.05267857142857</v>
      </c>
      <c r="AH361" s="12"/>
      <c r="AI361" s="12">
        <f>AE361+AF361+AG361+AH361</f>
        <v>20.440446428571427</v>
      </c>
      <c r="AJ361" s="12">
        <f>AB361*0.01</f>
        <v>1.3403571428571428</v>
      </c>
      <c r="AK361" s="37"/>
      <c r="AL361" s="37"/>
      <c r="AM361" s="12"/>
      <c r="AN361" s="12"/>
      <c r="AO361" s="12"/>
      <c r="AP361" s="37"/>
      <c r="AQ361" s="37"/>
    </row>
    <row r="362" spans="1:43">
      <c r="A362" s="21">
        <f t="shared" si="235"/>
        <v>300</v>
      </c>
      <c r="B362" s="113" t="s">
        <v>614</v>
      </c>
      <c r="C362" s="51" t="s">
        <v>613</v>
      </c>
      <c r="D362" s="88" t="s">
        <v>594</v>
      </c>
      <c r="E362" s="84" t="s">
        <v>79</v>
      </c>
      <c r="F362" s="85" t="s">
        <v>351</v>
      </c>
      <c r="G362" s="26">
        <v>417</v>
      </c>
      <c r="H362" s="32">
        <f t="shared" si="236"/>
        <v>5004</v>
      </c>
      <c r="I362" s="32">
        <v>60</v>
      </c>
      <c r="J362" s="36"/>
      <c r="K362" s="32">
        <f t="shared" si="237"/>
        <v>417</v>
      </c>
      <c r="L362" s="32">
        <v>300</v>
      </c>
      <c r="M362" s="37"/>
      <c r="N362" s="24">
        <v>125</v>
      </c>
      <c r="O362" s="24"/>
      <c r="P362" s="12">
        <f t="shared" si="228"/>
        <v>420.12750000000005</v>
      </c>
      <c r="Q362" s="40"/>
      <c r="R362" s="12">
        <f>P362/13</f>
        <v>32.317500000000003</v>
      </c>
      <c r="S362" s="12"/>
      <c r="T362" s="12"/>
      <c r="U362" s="12">
        <f>G362*0.075*13</f>
        <v>406.57499999999999</v>
      </c>
      <c r="V362" s="12">
        <f t="shared" si="231"/>
        <v>31.274999999999999</v>
      </c>
      <c r="W362" s="12"/>
      <c r="X362" s="12"/>
      <c r="Y362" s="12">
        <f>P362+S362+U362+W362</f>
        <v>826.7025000000001</v>
      </c>
      <c r="Z362" s="12">
        <f t="shared" si="232"/>
        <v>54.21</v>
      </c>
      <c r="AA362" s="12">
        <f t="shared" si="233"/>
        <v>4.17</v>
      </c>
      <c r="AB362" s="12">
        <f>G362/30/7*1.5*45</f>
        <v>134.03571428571428</v>
      </c>
      <c r="AC362" s="12">
        <v>146.21</v>
      </c>
      <c r="AD362" s="12">
        <f t="shared" si="249"/>
        <v>-12.17428571428573</v>
      </c>
      <c r="AE362" s="12">
        <f t="shared" si="238"/>
        <v>10.387767857142856</v>
      </c>
      <c r="AF362" s="12"/>
      <c r="AG362" s="12">
        <f t="shared" si="239"/>
        <v>10.05267857142857</v>
      </c>
      <c r="AH362" s="12"/>
      <c r="AI362" s="12">
        <f>AE362+AF362+AG362+AH362-0.01</f>
        <v>20.430446428571425</v>
      </c>
      <c r="AJ362" s="12">
        <f t="shared" si="240"/>
        <v>1.3403571428571428</v>
      </c>
      <c r="AK362" s="37"/>
      <c r="AL362" s="37"/>
      <c r="AM362" s="12"/>
      <c r="AN362" s="12"/>
      <c r="AO362" s="12"/>
      <c r="AP362" s="37"/>
      <c r="AQ362" s="37"/>
    </row>
    <row r="363" spans="1:43">
      <c r="A363" s="21"/>
      <c r="B363" s="63"/>
      <c r="C363" s="29" t="s">
        <v>615</v>
      </c>
      <c r="D363" s="64"/>
      <c r="E363" s="23"/>
      <c r="F363" s="7"/>
      <c r="G363" s="30">
        <f>SUM(G347:G362)</f>
        <v>8964</v>
      </c>
      <c r="H363" s="30">
        <f>SUM(H347:H362)</f>
        <v>107568</v>
      </c>
      <c r="I363" s="30">
        <f>SUM(I347:I362)</f>
        <v>960</v>
      </c>
      <c r="J363" s="30">
        <f>SUM(J327:J362)</f>
        <v>0</v>
      </c>
      <c r="K363" s="30">
        <f>SUM(K347:K362)</f>
        <v>8964</v>
      </c>
      <c r="L363" s="30">
        <f>SUM(L347:L362)</f>
        <v>4800</v>
      </c>
      <c r="M363" s="20">
        <f>SUM(M327:M362)</f>
        <v>0</v>
      </c>
      <c r="N363" s="20">
        <f>SUM(N347:N362)</f>
        <v>2000</v>
      </c>
      <c r="O363" s="31"/>
      <c r="P363" s="20">
        <f>SUM(P347:P362)+0.01</f>
        <v>9031.2400000000016</v>
      </c>
      <c r="Q363" s="20">
        <f>SUM(Q347:Q362)</f>
        <v>404.16249999999991</v>
      </c>
      <c r="R363" s="20">
        <f>SUM(R347:R362)+0.01</f>
        <v>290.5575</v>
      </c>
      <c r="S363" s="20">
        <f>SUM(S347:S362)</f>
        <v>0</v>
      </c>
      <c r="T363" s="20">
        <f>SUM(T347:T362)</f>
        <v>0</v>
      </c>
      <c r="U363" s="20">
        <f>SUM(U347:U362)+0.05</f>
        <v>8739.9499999999989</v>
      </c>
      <c r="V363" s="20">
        <f>SUM(V347:V362)+0.05</f>
        <v>672.3499999999998</v>
      </c>
      <c r="W363" s="20">
        <f>SUM(W347:W362)</f>
        <v>0</v>
      </c>
      <c r="X363" s="20">
        <f>SUM(X347:X362)</f>
        <v>0</v>
      </c>
      <c r="Y363" s="20">
        <f>SUM(Y347:Y362)+0.03</f>
        <v>17771.189999999995</v>
      </c>
      <c r="Z363" s="20">
        <f>SUM(Z347:Z362)</f>
        <v>1165.3200000000002</v>
      </c>
      <c r="AA363" s="20">
        <f>SUM(AA347:AA362)</f>
        <v>89.64</v>
      </c>
      <c r="AB363" s="20">
        <f>SUM(AB347:AB362)+0.02</f>
        <v>2389.1885714285713</v>
      </c>
      <c r="AC363" s="20">
        <f t="shared" ref="AC363:AH363" si="251">SUM(AC347:AC362)</f>
        <v>930.35</v>
      </c>
      <c r="AD363" s="20">
        <f t="shared" si="251"/>
        <v>566.53285714285721</v>
      </c>
      <c r="AE363" s="20">
        <f t="shared" si="251"/>
        <v>185.16056428571426</v>
      </c>
      <c r="AF363" s="20">
        <f t="shared" si="251"/>
        <v>0</v>
      </c>
      <c r="AG363" s="20">
        <f t="shared" si="251"/>
        <v>179.18764285714286</v>
      </c>
      <c r="AH363" s="20">
        <f t="shared" si="251"/>
        <v>0</v>
      </c>
      <c r="AI363" s="20">
        <f>SUM(AI347:AI362)-0.01</f>
        <v>364.33820714285719</v>
      </c>
      <c r="AJ363" s="20">
        <f>SUM(AJ347:AJ362)+0.02</f>
        <v>23.911685714285714</v>
      </c>
      <c r="AK363" s="20"/>
      <c r="AL363" s="20"/>
      <c r="AM363" s="65"/>
      <c r="AN363" s="65"/>
      <c r="AO363" s="65"/>
      <c r="AP363" s="20"/>
      <c r="AQ363" s="20"/>
    </row>
    <row r="364" spans="1:43" ht="15.75" thickBot="1">
      <c r="A364" s="66"/>
      <c r="B364" s="67"/>
      <c r="C364" s="68"/>
      <c r="D364" s="69" t="s">
        <v>616</v>
      </c>
      <c r="E364" s="70"/>
      <c r="F364" s="70"/>
      <c r="G364" s="65">
        <f>(G363+G346+G248+G211+G202+G197+G177)</f>
        <v>102977.69</v>
      </c>
      <c r="H364" s="65">
        <f>(H363+H346+H248+H211+H202+H197+H177)</f>
        <v>1235732.2799999998</v>
      </c>
      <c r="I364" s="65">
        <f>(I363+I346++I248+I211+I202+I197+I177)</f>
        <v>10500</v>
      </c>
      <c r="J364" s="65">
        <f>(J363+J346+J248+J211+J202+J197+J177+J174)</f>
        <v>0</v>
      </c>
      <c r="K364" s="65">
        <f>(K363+K346+K248+K211+K202+K197+K177)</f>
        <v>102977.69</v>
      </c>
      <c r="L364" s="65">
        <f>(L363+L346+L248+L211+L202+L197+L177)</f>
        <v>52500</v>
      </c>
      <c r="M364" s="65">
        <f>(M363+M346+M248+M211+M202+M197+M177)</f>
        <v>0</v>
      </c>
      <c r="N364" s="65">
        <f>(N363+N346+N248+N211+N202+N197+N177)</f>
        <v>21875</v>
      </c>
      <c r="O364" s="65">
        <f>(O363+O346+O248+O211+O202+O197)</f>
        <v>0</v>
      </c>
      <c r="P364" s="65">
        <f>(P363+P346+P248+P211+P202+P197+P177)+0.01</f>
        <v>92314.485350000017</v>
      </c>
      <c r="Q364" s="65">
        <f>(Q363+Q346+Q248+Q211+Q202+Q197+Q177)+0.01</f>
        <v>3000.6847500000003</v>
      </c>
      <c r="R364" s="65">
        <f>(R363+R346+R248+R211+R202+R197+R177)</f>
        <v>4100.3272000000006</v>
      </c>
      <c r="S364" s="65">
        <f>(S363+S346+S248+S211+S202+S197)</f>
        <v>611.32499999999993</v>
      </c>
      <c r="T364" s="65">
        <f>(T363+T346+T248+T211+T202+T197+T177)</f>
        <v>50.943749999999994</v>
      </c>
      <c r="U364" s="65">
        <f>(U363+U346+U248+U211+U202+U197+U177)</f>
        <v>99916.377749999956</v>
      </c>
      <c r="V364" s="65">
        <f>(V363+V346+V248+V211+V202+V197+V177)</f>
        <v>7686.3967500000063</v>
      </c>
      <c r="W364" s="65">
        <f>(W363+W346+W248+W211+W202+W197+W177)</f>
        <v>8364.1918000000005</v>
      </c>
      <c r="X364" s="65">
        <f>(X363+X346+X248+X211+X202+X197+X177)</f>
        <v>689.00515000000007</v>
      </c>
      <c r="Y364" s="65">
        <f>(Y363+Y346+Y248+Y211+Y202+Y197+Y177)+0.01</f>
        <v>201206.38989999998</v>
      </c>
      <c r="Z364" s="65">
        <f>(Z363+Z346+Z248+Z211+Z202+Z197+Z177)-0.01</f>
        <v>13387.0597</v>
      </c>
      <c r="AA364" s="65">
        <f>(AA363+AA346+AA248+AA211+AA202+AA197+AA177)</f>
        <v>1029.7968999999998</v>
      </c>
      <c r="AB364" s="65">
        <f>(AB363+AB346+AB248+AB211+AB202+AB197+AB177)+0.01</f>
        <v>19856.155714285713</v>
      </c>
      <c r="AC364" s="65">
        <f>(AC363+AC346+AC41+AC248+AC211+AC202+AC197)</f>
        <v>7152.52</v>
      </c>
      <c r="AD364" s="65">
        <f>(AD363+AD346+AD41+AD248+AD211+AD202+AD197)</f>
        <v>2703.0553571428572</v>
      </c>
      <c r="AE364" s="65">
        <f>(AE363+AE346+AE248+AE211+AE202+AE197+AE177)</f>
        <v>1419.1398785714273</v>
      </c>
      <c r="AF364" s="65">
        <f>(AF363+AF346+AF248+AF211+AF202+AF197+AF177)</f>
        <v>15.115178571428569</v>
      </c>
      <c r="AG364" s="65">
        <f>(AG363+AG346+AG248+AG211+AG202+AG197+AG177)+0.01</f>
        <v>1489.3496785714294</v>
      </c>
      <c r="AH364" s="65">
        <f t="shared" ref="AH364:AM364" si="252">(AH363+AH346+AH248+AH211+AH202+AH197+AH177)</f>
        <v>80.607371428571426</v>
      </c>
      <c r="AI364" s="65">
        <f t="shared" si="252"/>
        <v>3004.192107142861</v>
      </c>
      <c r="AJ364" s="65">
        <f t="shared" si="252"/>
        <v>198.65995714285719</v>
      </c>
      <c r="AK364" s="65">
        <f t="shared" si="252"/>
        <v>0</v>
      </c>
      <c r="AL364" s="65">
        <f t="shared" si="252"/>
        <v>0</v>
      </c>
      <c r="AM364" s="65">
        <f t="shared" si="252"/>
        <v>0</v>
      </c>
      <c r="AN364" s="65"/>
      <c r="AO364" s="65"/>
      <c r="AP364" s="65">
        <f>(AP363+AP346+AP248+AP211+AP202+AP197+AP177)</f>
        <v>0</v>
      </c>
      <c r="AQ364" s="65">
        <f>(AQ363+AQ346+AQ248+AQ211+AQ202+AQ197+AQ177)</f>
        <v>0</v>
      </c>
    </row>
    <row r="365" spans="1:43" ht="15.75" thickBot="1">
      <c r="A365" s="71"/>
      <c r="B365" s="72"/>
      <c r="C365" s="410" t="s">
        <v>617</v>
      </c>
      <c r="D365" s="411"/>
      <c r="E365" s="411"/>
      <c r="F365" s="412"/>
      <c r="G365" s="73">
        <f t="shared" ref="G365:P365" si="253">SUM(G364,G175,G148,G97)</f>
        <v>190757.86000000002</v>
      </c>
      <c r="H365" s="73">
        <f t="shared" si="253"/>
        <v>2289094.3199999998</v>
      </c>
      <c r="I365" s="73">
        <f t="shared" si="253"/>
        <v>17880</v>
      </c>
      <c r="J365" s="73" t="e">
        <f t="shared" si="253"/>
        <v>#REF!</v>
      </c>
      <c r="K365" s="73">
        <f t="shared" si="253"/>
        <v>193757.86000000002</v>
      </c>
      <c r="L365" s="73">
        <f t="shared" si="253"/>
        <v>89400</v>
      </c>
      <c r="M365" s="73" t="e">
        <f t="shared" si="253"/>
        <v>#REF!</v>
      </c>
      <c r="N365" s="73">
        <f t="shared" si="253"/>
        <v>37250</v>
      </c>
      <c r="O365" s="73">
        <f t="shared" si="253"/>
        <v>9730</v>
      </c>
      <c r="P365" s="73">
        <f t="shared" si="253"/>
        <v>195740.89872500004</v>
      </c>
      <c r="Q365" s="73">
        <f>SUM(Q364,Q175,Q148,Q97)-0.01</f>
        <v>7162.7720134615374</v>
      </c>
      <c r="R365" s="73">
        <f>SUM(R364,R175,R148,R97)</f>
        <v>7894.0863500000005</v>
      </c>
      <c r="S365" s="73">
        <f>SUM(S364,S175,S148,S97)+0.01</f>
        <v>1242.1599999999999</v>
      </c>
      <c r="T365" s="73">
        <f>SUM(T364,T175,T148,T97)</f>
        <v>103.51249999999999</v>
      </c>
      <c r="U365" s="73">
        <f>SUM(U364,U175,U148,U97)</f>
        <v>192840.40999999995</v>
      </c>
      <c r="V365" s="73">
        <f>SUM(V364,V175,V148,V97)</f>
        <v>14834.730000000005</v>
      </c>
      <c r="W365" s="73">
        <f>W364+W175+W148+W97</f>
        <v>10452.0334</v>
      </c>
      <c r="X365" s="73">
        <f>SUM(X364,X175,X148,X97)+0.01</f>
        <v>846.93195000000003</v>
      </c>
      <c r="Y365" s="73">
        <f>SUM(Y364,Y175,Y148,Y97)</f>
        <v>400275.50212499994</v>
      </c>
      <c r="Z365" s="73">
        <f>SUM(Z364,Z175,Z148,Z97)+0.01</f>
        <v>25800.205899999994</v>
      </c>
      <c r="AA365" s="73">
        <f>SUM(AA364,AA175,AA148,AA97)</f>
        <v>1984.6542999999997</v>
      </c>
      <c r="AB365" s="73">
        <f>SUM(AB364,AB175,AB148,AB97)</f>
        <v>21265.735714285711</v>
      </c>
      <c r="AC365" s="73" t="e">
        <f>SUM(AC364,AC175,AC148,AC97)</f>
        <v>#REF!</v>
      </c>
      <c r="AD365" s="73" t="e">
        <f>SUM(AD364,AD175,AD148,AD97)-0.01</f>
        <v>#REF!</v>
      </c>
      <c r="AE365" s="73">
        <f t="shared" ref="AE365:AJ365" si="254">SUM(AE364,AE175,AE148,AE97)</f>
        <v>1528.3915535714273</v>
      </c>
      <c r="AF365" s="73">
        <f t="shared" si="254"/>
        <v>15.115178571428569</v>
      </c>
      <c r="AG365" s="73">
        <f t="shared" si="254"/>
        <v>1595.0774285714294</v>
      </c>
      <c r="AH365" s="73">
        <f t="shared" si="254"/>
        <v>80.607371428571426</v>
      </c>
      <c r="AI365" s="73">
        <f t="shared" si="254"/>
        <v>3219.171532142861</v>
      </c>
      <c r="AJ365" s="73">
        <f t="shared" si="254"/>
        <v>212.76565714285721</v>
      </c>
      <c r="AK365" s="73">
        <f>AK97</f>
        <v>15915.89</v>
      </c>
      <c r="AL365" s="73">
        <f>AL97</f>
        <v>110000</v>
      </c>
      <c r="AM365" s="73">
        <f>SUM(AM364,AM175,AM148,AM97)</f>
        <v>27900</v>
      </c>
      <c r="AN365" s="73">
        <f>SUM(AN364,AN175,AN148,AN97)</f>
        <v>9500</v>
      </c>
      <c r="AO365" s="73">
        <f>SUM(AO364,AO175,AO148,AO97)</f>
        <v>42722.82</v>
      </c>
      <c r="AP365" s="73">
        <f>SUM(AP364,AP175,AP148,AP97)</f>
        <v>20000</v>
      </c>
      <c r="AQ365" s="73">
        <f>SUM(AQ364,AQ175,AQ148,AQ97)</f>
        <v>236600</v>
      </c>
    </row>
    <row r="366" spans="1:43">
      <c r="A366" s="74"/>
      <c r="B366" s="74"/>
      <c r="C366" s="75"/>
      <c r="F366" s="76"/>
      <c r="H366" s="79"/>
      <c r="I366" s="80"/>
      <c r="J366" s="81"/>
    </row>
    <row r="367" spans="1:43">
      <c r="A367" s="74"/>
      <c r="B367" s="74"/>
      <c r="C367" s="75"/>
      <c r="F367" s="76"/>
      <c r="H367" s="82"/>
      <c r="I367" s="78"/>
      <c r="K367" s="78"/>
      <c r="L367" s="77"/>
    </row>
  </sheetData>
  <mergeCells count="36">
    <mergeCell ref="C44:D44"/>
    <mergeCell ref="C175:D175"/>
    <mergeCell ref="C365:F365"/>
    <mergeCell ref="C49:E49"/>
    <mergeCell ref="AO4:AO6"/>
    <mergeCell ref="G4:H4"/>
    <mergeCell ref="J4:N4"/>
    <mergeCell ref="P4:Y4"/>
    <mergeCell ref="Z4:Z6"/>
    <mergeCell ref="AA4:AA6"/>
    <mergeCell ref="AB4:AB6"/>
    <mergeCell ref="N5:N6"/>
    <mergeCell ref="O5:O6"/>
    <mergeCell ref="S5:Y5"/>
    <mergeCell ref="F4:F6"/>
    <mergeCell ref="AP4:AP6"/>
    <mergeCell ref="AQ4:AQ6"/>
    <mergeCell ref="G5:G6"/>
    <mergeCell ref="H5:H6"/>
    <mergeCell ref="I5:I6"/>
    <mergeCell ref="J5:J6"/>
    <mergeCell ref="K5:K6"/>
    <mergeCell ref="L5:L6"/>
    <mergeCell ref="M5:M6"/>
    <mergeCell ref="AE4:AI4"/>
    <mergeCell ref="AJ4:AJ6"/>
    <mergeCell ref="AK4:AK6"/>
    <mergeCell ref="AL4:AL6"/>
    <mergeCell ref="AM4:AM6"/>
    <mergeCell ref="AN4:AN6"/>
    <mergeCell ref="AF5:AI5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50"/>
  <sheetViews>
    <sheetView tabSelected="1" zoomScale="160" zoomScaleNormal="160" workbookViewId="0">
      <pane xSplit="12465" ySplit="3360" topLeftCell="G31" activePane="bottomLeft"/>
      <selection activeCell="B1" sqref="B1:B1048576"/>
      <selection pane="topRight" activeCell="G1" sqref="G1"/>
      <selection pane="bottomLeft" activeCell="C1" sqref="C1"/>
      <selection pane="bottomRight" activeCell="J443" sqref="J443:K443"/>
    </sheetView>
  </sheetViews>
  <sheetFormatPr baseColWidth="10" defaultRowHeight="15"/>
  <cols>
    <col min="1" max="1" width="4.7109375" customWidth="1"/>
    <col min="2" max="2" width="15" customWidth="1"/>
    <col min="3" max="3" width="7.28515625" customWidth="1"/>
    <col min="4" max="4" width="9.5703125" customWidth="1"/>
    <col min="5" max="5" width="4.7109375" customWidth="1"/>
    <col min="6" max="6" width="8.42578125" customWidth="1"/>
    <col min="7" max="7" width="8.7109375" customWidth="1"/>
    <col min="8" max="8" width="8.42578125" customWidth="1"/>
    <col min="9" max="9" width="7.5703125" customWidth="1"/>
    <col min="10" max="10" width="8.28515625" customWidth="1"/>
    <col min="11" max="11" width="8.140625" customWidth="1"/>
    <col min="12" max="12" width="9.7109375" customWidth="1"/>
    <col min="13" max="14" width="10.42578125" customWidth="1"/>
    <col min="15" max="15" width="9.5703125" customWidth="1"/>
    <col min="16" max="16" width="9.85546875" customWidth="1"/>
    <col min="17" max="17" width="5.85546875" customWidth="1"/>
    <col min="18" max="18" width="6" customWidth="1"/>
    <col min="19" max="19" width="8.140625" customWidth="1"/>
    <col min="20" max="20" width="6.85546875" customWidth="1"/>
    <col min="21" max="21" width="6.140625" customWidth="1"/>
    <col min="22" max="22" width="5.140625" customWidth="1"/>
    <col min="23" max="23" width="8.28515625" hidden="1" customWidth="1"/>
    <col min="24" max="24" width="6.7109375" customWidth="1"/>
    <col min="25" max="25" width="6.140625" customWidth="1"/>
    <col min="26" max="26" width="9.42578125" customWidth="1"/>
    <col min="27" max="27" width="6.85546875" customWidth="1"/>
    <col min="28" max="28" width="5.85546875" customWidth="1"/>
    <col min="29" max="29" width="7.28515625" customWidth="1"/>
    <col min="30" max="30" width="6.140625" customWidth="1"/>
    <col min="31" max="31" width="6.42578125" hidden="1" customWidth="1"/>
    <col min="32" max="32" width="10" customWidth="1"/>
    <col min="33" max="33" width="12.28515625" customWidth="1"/>
    <col min="34" max="34" width="14" customWidth="1"/>
    <col min="35" max="35" width="13" customWidth="1"/>
    <col min="36" max="36" width="12.140625" customWidth="1"/>
  </cols>
  <sheetData>
    <row r="1" spans="1:36">
      <c r="C1" s="131"/>
      <c r="D1" s="132"/>
      <c r="F1" s="131" t="s">
        <v>721</v>
      </c>
      <c r="L1" s="131" t="s">
        <v>721</v>
      </c>
      <c r="Q1" s="131" t="s">
        <v>721</v>
      </c>
      <c r="Z1" s="131" t="s">
        <v>721</v>
      </c>
      <c r="AG1" s="131" t="s">
        <v>721</v>
      </c>
    </row>
    <row r="2" spans="1:36" ht="15.75">
      <c r="C2" s="133"/>
      <c r="D2" s="133"/>
      <c r="F2" s="133" t="s">
        <v>722</v>
      </c>
      <c r="L2" s="133" t="s">
        <v>722</v>
      </c>
      <c r="Q2" s="133" t="s">
        <v>722</v>
      </c>
      <c r="Z2" s="133" t="s">
        <v>722</v>
      </c>
      <c r="AG2" s="133" t="s">
        <v>722</v>
      </c>
    </row>
    <row r="3" spans="1:36" ht="12" customHeight="1">
      <c r="A3" s="463" t="s">
        <v>0</v>
      </c>
      <c r="B3" s="405" t="s">
        <v>2</v>
      </c>
      <c r="C3" s="405" t="s">
        <v>3</v>
      </c>
      <c r="D3" s="405" t="s">
        <v>4</v>
      </c>
      <c r="E3" s="462" t="s">
        <v>5</v>
      </c>
      <c r="F3" s="405" t="s">
        <v>6</v>
      </c>
      <c r="G3" s="405"/>
      <c r="H3" s="137"/>
      <c r="I3" s="405"/>
      <c r="J3" s="405"/>
      <c r="K3" s="405"/>
      <c r="L3" s="405"/>
      <c r="M3" s="405"/>
      <c r="N3" s="450" t="s">
        <v>7</v>
      </c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2"/>
      <c r="Z3" s="405" t="s">
        <v>10</v>
      </c>
      <c r="AA3" s="447" t="s">
        <v>11</v>
      </c>
      <c r="AB3" s="448"/>
      <c r="AC3" s="448"/>
      <c r="AD3" s="448"/>
      <c r="AE3" s="448"/>
      <c r="AF3" s="449"/>
      <c r="AG3" s="405" t="s">
        <v>12</v>
      </c>
      <c r="AH3" s="405" t="s">
        <v>13</v>
      </c>
      <c r="AI3" s="405" t="s">
        <v>17</v>
      </c>
      <c r="AJ3" s="405" t="s">
        <v>18</v>
      </c>
    </row>
    <row r="4" spans="1:36" ht="15" customHeight="1">
      <c r="A4" s="463"/>
      <c r="B4" s="405"/>
      <c r="C4" s="405"/>
      <c r="D4" s="405"/>
      <c r="E4" s="462"/>
      <c r="F4" s="405" t="s">
        <v>19</v>
      </c>
      <c r="G4" s="405" t="s">
        <v>20</v>
      </c>
      <c r="H4" s="405" t="s">
        <v>21</v>
      </c>
      <c r="I4" s="405" t="s">
        <v>22</v>
      </c>
      <c r="J4" s="405" t="s">
        <v>23</v>
      </c>
      <c r="K4" s="405" t="s">
        <v>24</v>
      </c>
      <c r="L4" s="405" t="s">
        <v>25</v>
      </c>
      <c r="M4" s="405" t="s">
        <v>26</v>
      </c>
      <c r="N4" s="447" t="s">
        <v>28</v>
      </c>
      <c r="O4" s="448"/>
      <c r="P4" s="449"/>
      <c r="Q4" s="447" t="s">
        <v>30</v>
      </c>
      <c r="R4" s="448"/>
      <c r="S4" s="448"/>
      <c r="T4" s="448"/>
      <c r="U4" s="448"/>
      <c r="V4" s="448"/>
      <c r="W4" s="448"/>
      <c r="X4" s="448"/>
      <c r="Y4" s="449"/>
      <c r="Z4" s="405"/>
      <c r="AA4" s="137" t="s">
        <v>28</v>
      </c>
      <c r="AB4" s="447" t="s">
        <v>31</v>
      </c>
      <c r="AC4" s="448"/>
      <c r="AD4" s="448"/>
      <c r="AE4" s="448"/>
      <c r="AF4" s="449"/>
      <c r="AG4" s="405"/>
      <c r="AH4" s="405"/>
      <c r="AI4" s="405"/>
      <c r="AJ4" s="405"/>
    </row>
    <row r="5" spans="1:36" ht="33">
      <c r="A5" s="463"/>
      <c r="B5" s="405"/>
      <c r="C5" s="405"/>
      <c r="D5" s="405"/>
      <c r="E5" s="462"/>
      <c r="F5" s="405"/>
      <c r="G5" s="405"/>
      <c r="H5" s="405"/>
      <c r="I5" s="405"/>
      <c r="J5" s="405"/>
      <c r="K5" s="405"/>
      <c r="L5" s="405"/>
      <c r="M5" s="405"/>
      <c r="N5" s="137" t="s">
        <v>33</v>
      </c>
      <c r="O5" s="137" t="s">
        <v>801</v>
      </c>
      <c r="P5" s="137" t="s">
        <v>800</v>
      </c>
      <c r="Q5" s="137" t="s">
        <v>36</v>
      </c>
      <c r="R5" s="137" t="s">
        <v>37</v>
      </c>
      <c r="S5" s="137" t="s">
        <v>38</v>
      </c>
      <c r="T5" s="137" t="s">
        <v>39</v>
      </c>
      <c r="U5" s="137" t="s">
        <v>40</v>
      </c>
      <c r="V5" s="137" t="s">
        <v>41</v>
      </c>
      <c r="W5" s="137" t="s">
        <v>42</v>
      </c>
      <c r="X5" s="388" t="s">
        <v>8</v>
      </c>
      <c r="Y5" s="389" t="s">
        <v>9</v>
      </c>
      <c r="Z5" s="405"/>
      <c r="AA5" s="137" t="s">
        <v>33</v>
      </c>
      <c r="AB5" s="137" t="s">
        <v>36</v>
      </c>
      <c r="AC5" s="137" t="s">
        <v>38</v>
      </c>
      <c r="AD5" s="137" t="s">
        <v>40</v>
      </c>
      <c r="AE5" s="137" t="s">
        <v>42</v>
      </c>
      <c r="AF5" s="388" t="s">
        <v>8</v>
      </c>
      <c r="AG5" s="405"/>
      <c r="AH5" s="405"/>
      <c r="AI5" s="405"/>
      <c r="AJ5" s="405"/>
    </row>
    <row r="6" spans="1:36" ht="21.75" customHeight="1">
      <c r="A6" s="2">
        <v>1</v>
      </c>
      <c r="B6" s="4" t="s">
        <v>44</v>
      </c>
      <c r="C6" s="143" t="s">
        <v>45</v>
      </c>
      <c r="D6" s="6" t="s">
        <v>46</v>
      </c>
      <c r="E6" s="18" t="s">
        <v>47</v>
      </c>
      <c r="F6" s="306"/>
      <c r="G6" s="306"/>
      <c r="H6" s="306"/>
      <c r="I6" s="307">
        <v>112000</v>
      </c>
      <c r="J6" s="307">
        <v>3000</v>
      </c>
      <c r="K6" s="308"/>
      <c r="L6" s="308"/>
      <c r="M6" s="308"/>
      <c r="N6" s="307">
        <f t="shared" ref="N6:N19" si="0">AJ6*0.0775</f>
        <v>2216.5</v>
      </c>
      <c r="O6" s="307"/>
      <c r="P6" s="307">
        <f>N6/13</f>
        <v>170.5</v>
      </c>
      <c r="Q6" s="307"/>
      <c r="R6" s="307"/>
      <c r="S6" s="307">
        <v>975</v>
      </c>
      <c r="T6" s="307">
        <f t="shared" ref="T6:T19" si="1">S6/13</f>
        <v>75</v>
      </c>
      <c r="U6" s="307"/>
      <c r="V6" s="307"/>
      <c r="W6" s="307">
        <f>N6+Q6+S6+U6</f>
        <v>3191.5</v>
      </c>
      <c r="X6" s="307">
        <v>130</v>
      </c>
      <c r="Y6" s="307">
        <f t="shared" ref="Y6:Y19" si="2">X6/13</f>
        <v>10</v>
      </c>
      <c r="Z6" s="307"/>
      <c r="AA6" s="307"/>
      <c r="AB6" s="307"/>
      <c r="AC6" s="307"/>
      <c r="AD6" s="307"/>
      <c r="AE6" s="307"/>
      <c r="AF6" s="307"/>
      <c r="AG6" s="316">
        <v>60000</v>
      </c>
      <c r="AH6" s="316">
        <v>150000</v>
      </c>
      <c r="AI6" s="316">
        <v>20000</v>
      </c>
      <c r="AJ6" s="307">
        <f>2200*13</f>
        <v>28600</v>
      </c>
    </row>
    <row r="7" spans="1:36" ht="21.75" customHeight="1">
      <c r="A7" s="2">
        <f>A6+1</f>
        <v>2</v>
      </c>
      <c r="B7" s="4" t="s">
        <v>49</v>
      </c>
      <c r="C7" s="143" t="s">
        <v>45</v>
      </c>
      <c r="D7" s="6" t="s">
        <v>46</v>
      </c>
      <c r="E7" s="18" t="s">
        <v>47</v>
      </c>
      <c r="F7" s="306"/>
      <c r="G7" s="306"/>
      <c r="H7" s="306"/>
      <c r="I7" s="306"/>
      <c r="J7" s="306"/>
      <c r="K7" s="308"/>
      <c r="L7" s="306"/>
      <c r="M7" s="308"/>
      <c r="N7" s="307">
        <f t="shared" si="0"/>
        <v>2216.5</v>
      </c>
      <c r="O7" s="307"/>
      <c r="P7" s="307">
        <f>N7/13</f>
        <v>170.5</v>
      </c>
      <c r="Q7" s="307"/>
      <c r="R7" s="307"/>
      <c r="S7" s="307">
        <v>975</v>
      </c>
      <c r="T7" s="307">
        <f t="shared" si="1"/>
        <v>75</v>
      </c>
      <c r="U7" s="307"/>
      <c r="V7" s="307"/>
      <c r="W7" s="307">
        <f t="shared" ref="W7:W19" si="3">N7+Q7+S7+U7</f>
        <v>3191.5</v>
      </c>
      <c r="X7" s="307">
        <v>130</v>
      </c>
      <c r="Y7" s="307">
        <f t="shared" si="2"/>
        <v>10</v>
      </c>
      <c r="Z7" s="307"/>
      <c r="AA7" s="307"/>
      <c r="AB7" s="307"/>
      <c r="AC7" s="307"/>
      <c r="AD7" s="307"/>
      <c r="AE7" s="307"/>
      <c r="AF7" s="307"/>
      <c r="AG7" s="307"/>
      <c r="AH7" s="307" t="s">
        <v>50</v>
      </c>
      <c r="AI7" s="307"/>
      <c r="AJ7" s="307">
        <f t="shared" ref="AJ7:AJ19" si="4">2200*13</f>
        <v>28600</v>
      </c>
    </row>
    <row r="8" spans="1:36" ht="21.75" customHeight="1">
      <c r="A8" s="2">
        <f>A7+1</f>
        <v>3</v>
      </c>
      <c r="B8" s="4" t="s">
        <v>52</v>
      </c>
      <c r="C8" s="143" t="s">
        <v>45</v>
      </c>
      <c r="D8" s="6" t="s">
        <v>46</v>
      </c>
      <c r="E8" s="18" t="s">
        <v>47</v>
      </c>
      <c r="F8" s="306"/>
      <c r="G8" s="306"/>
      <c r="H8" s="306"/>
      <c r="I8" s="306"/>
      <c r="J8" s="306"/>
      <c r="K8" s="308"/>
      <c r="L8" s="306"/>
      <c r="M8" s="308"/>
      <c r="N8" s="307">
        <f t="shared" si="0"/>
        <v>2216.5</v>
      </c>
      <c r="O8" s="307"/>
      <c r="P8" s="307">
        <f>N8/13</f>
        <v>170.5</v>
      </c>
      <c r="Q8" s="307"/>
      <c r="R8" s="307"/>
      <c r="S8" s="307">
        <v>975</v>
      </c>
      <c r="T8" s="307">
        <f t="shared" si="1"/>
        <v>75</v>
      </c>
      <c r="U8" s="307"/>
      <c r="V8" s="307"/>
      <c r="W8" s="307">
        <f t="shared" si="3"/>
        <v>3191.5</v>
      </c>
      <c r="X8" s="307">
        <v>130</v>
      </c>
      <c r="Y8" s="307">
        <f t="shared" si="2"/>
        <v>10</v>
      </c>
      <c r="Z8" s="307"/>
      <c r="AA8" s="307"/>
      <c r="AB8" s="307"/>
      <c r="AC8" s="307"/>
      <c r="AD8" s="307"/>
      <c r="AE8" s="307"/>
      <c r="AF8" s="307"/>
      <c r="AG8" s="307"/>
      <c r="AH8" s="309"/>
      <c r="AI8" s="307"/>
      <c r="AJ8" s="307">
        <f t="shared" si="4"/>
        <v>28600</v>
      </c>
    </row>
    <row r="9" spans="1:36" ht="21.75" customHeight="1">
      <c r="A9" s="2">
        <f t="shared" ref="A9:A19" si="5">A8+1</f>
        <v>4</v>
      </c>
      <c r="B9" s="4" t="s">
        <v>54</v>
      </c>
      <c r="C9" s="143" t="s">
        <v>45</v>
      </c>
      <c r="D9" s="6" t="s">
        <v>46</v>
      </c>
      <c r="E9" s="18" t="s">
        <v>47</v>
      </c>
      <c r="F9" s="306"/>
      <c r="G9" s="306"/>
      <c r="H9" s="306"/>
      <c r="I9" s="306"/>
      <c r="J9" s="306"/>
      <c r="K9" s="308"/>
      <c r="L9" s="306"/>
      <c r="M9" s="308"/>
      <c r="N9" s="307">
        <f t="shared" si="0"/>
        <v>2216.5</v>
      </c>
      <c r="O9" s="307"/>
      <c r="P9" s="307">
        <f>N9/13</f>
        <v>170.5</v>
      </c>
      <c r="Q9" s="307"/>
      <c r="R9" s="307"/>
      <c r="S9" s="307">
        <v>975</v>
      </c>
      <c r="T9" s="307">
        <f t="shared" si="1"/>
        <v>75</v>
      </c>
      <c r="U9" s="307"/>
      <c r="V9" s="307"/>
      <c r="W9" s="307">
        <f t="shared" si="3"/>
        <v>3191.5</v>
      </c>
      <c r="X9" s="307">
        <v>130</v>
      </c>
      <c r="Y9" s="307">
        <f t="shared" si="2"/>
        <v>10</v>
      </c>
      <c r="Z9" s="307"/>
      <c r="AA9" s="307"/>
      <c r="AB9" s="307"/>
      <c r="AC9" s="307"/>
      <c r="AD9" s="307"/>
      <c r="AE9" s="307"/>
      <c r="AF9" s="307"/>
      <c r="AG9" s="307"/>
      <c r="AH9" s="310"/>
      <c r="AI9" s="307"/>
      <c r="AJ9" s="307">
        <f t="shared" si="4"/>
        <v>28600</v>
      </c>
    </row>
    <row r="10" spans="1:36" ht="21.75" customHeight="1">
      <c r="A10" s="2">
        <f t="shared" si="5"/>
        <v>5</v>
      </c>
      <c r="B10" s="4" t="s">
        <v>56</v>
      </c>
      <c r="C10" s="143" t="s">
        <v>45</v>
      </c>
      <c r="D10" s="6" t="s">
        <v>46</v>
      </c>
      <c r="E10" s="18" t="s">
        <v>47</v>
      </c>
      <c r="F10" s="306"/>
      <c r="G10" s="306"/>
      <c r="H10" s="306"/>
      <c r="I10" s="306"/>
      <c r="J10" s="306"/>
      <c r="K10" s="308"/>
      <c r="L10" s="306"/>
      <c r="M10" s="308"/>
      <c r="N10" s="307">
        <f t="shared" si="0"/>
        <v>2216.5</v>
      </c>
      <c r="O10" s="307"/>
      <c r="P10" s="307">
        <f>N10/13</f>
        <v>170.5</v>
      </c>
      <c r="Q10" s="307"/>
      <c r="R10" s="307"/>
      <c r="S10" s="307">
        <v>975</v>
      </c>
      <c r="T10" s="307">
        <f t="shared" si="1"/>
        <v>75</v>
      </c>
      <c r="U10" s="307"/>
      <c r="V10" s="307"/>
      <c r="W10" s="307">
        <f t="shared" si="3"/>
        <v>3191.5</v>
      </c>
      <c r="X10" s="307">
        <v>130</v>
      </c>
      <c r="Y10" s="307">
        <f t="shared" si="2"/>
        <v>10</v>
      </c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>
        <f t="shared" si="4"/>
        <v>28600</v>
      </c>
    </row>
    <row r="11" spans="1:36" ht="21.75" customHeight="1">
      <c r="A11" s="2">
        <f t="shared" si="5"/>
        <v>6</v>
      </c>
      <c r="B11" s="4" t="s">
        <v>58</v>
      </c>
      <c r="C11" s="143" t="s">
        <v>45</v>
      </c>
      <c r="D11" s="6" t="s">
        <v>46</v>
      </c>
      <c r="E11" s="18" t="s">
        <v>47</v>
      </c>
      <c r="F11" s="306"/>
      <c r="G11" s="306"/>
      <c r="H11" s="306"/>
      <c r="I11" s="306"/>
      <c r="J11" s="306"/>
      <c r="K11" s="308"/>
      <c r="L11" s="306"/>
      <c r="M11" s="308"/>
      <c r="N11" s="307">
        <f t="shared" si="0"/>
        <v>2216.5</v>
      </c>
      <c r="O11" s="307">
        <f t="shared" ref="O11:O18" si="6">N11/13</f>
        <v>170.5</v>
      </c>
      <c r="P11" s="307"/>
      <c r="Q11" s="307"/>
      <c r="R11" s="307"/>
      <c r="S11" s="307">
        <v>975</v>
      </c>
      <c r="T11" s="307">
        <f t="shared" si="1"/>
        <v>75</v>
      </c>
      <c r="U11" s="307"/>
      <c r="V11" s="307"/>
      <c r="W11" s="307">
        <f t="shared" si="3"/>
        <v>3191.5</v>
      </c>
      <c r="X11" s="307">
        <v>130</v>
      </c>
      <c r="Y11" s="307">
        <f t="shared" si="2"/>
        <v>10</v>
      </c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>
        <f t="shared" si="4"/>
        <v>28600</v>
      </c>
    </row>
    <row r="12" spans="1:36" ht="21.75" customHeight="1">
      <c r="A12" s="2">
        <f t="shared" si="5"/>
        <v>7</v>
      </c>
      <c r="B12" s="4" t="s">
        <v>60</v>
      </c>
      <c r="C12" s="143" t="s">
        <v>45</v>
      </c>
      <c r="D12" s="6" t="s">
        <v>46</v>
      </c>
      <c r="E12" s="18" t="s">
        <v>47</v>
      </c>
      <c r="F12" s="306"/>
      <c r="G12" s="306"/>
      <c r="H12" s="306"/>
      <c r="I12" s="306"/>
      <c r="J12" s="306"/>
      <c r="K12" s="308"/>
      <c r="L12" s="306"/>
      <c r="M12" s="308"/>
      <c r="N12" s="307">
        <f t="shared" si="0"/>
        <v>2216.5</v>
      </c>
      <c r="O12" s="307"/>
      <c r="P12" s="307">
        <f>N12/13</f>
        <v>170.5</v>
      </c>
      <c r="Q12" s="307"/>
      <c r="R12" s="307"/>
      <c r="S12" s="307">
        <v>975</v>
      </c>
      <c r="T12" s="307">
        <f t="shared" si="1"/>
        <v>75</v>
      </c>
      <c r="U12" s="307"/>
      <c r="V12" s="307"/>
      <c r="W12" s="307">
        <f t="shared" si="3"/>
        <v>3191.5</v>
      </c>
      <c r="X12" s="307">
        <v>130</v>
      </c>
      <c r="Y12" s="307">
        <f t="shared" si="2"/>
        <v>10</v>
      </c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>
        <f t="shared" si="4"/>
        <v>28600</v>
      </c>
    </row>
    <row r="13" spans="1:36" ht="21.75" customHeight="1">
      <c r="A13" s="2">
        <f t="shared" si="5"/>
        <v>8</v>
      </c>
      <c r="B13" s="4" t="s">
        <v>62</v>
      </c>
      <c r="C13" s="143" t="s">
        <v>45</v>
      </c>
      <c r="D13" s="6" t="s">
        <v>46</v>
      </c>
      <c r="E13" s="18" t="s">
        <v>47</v>
      </c>
      <c r="F13" s="306"/>
      <c r="G13" s="306"/>
      <c r="H13" s="306"/>
      <c r="I13" s="306"/>
      <c r="J13" s="306"/>
      <c r="K13" s="308"/>
      <c r="L13" s="306"/>
      <c r="M13" s="308"/>
      <c r="N13" s="307">
        <f t="shared" si="0"/>
        <v>2216.5</v>
      </c>
      <c r="O13" s="307">
        <f t="shared" si="6"/>
        <v>170.5</v>
      </c>
      <c r="P13" s="307"/>
      <c r="Q13" s="307"/>
      <c r="R13" s="307"/>
      <c r="S13" s="307">
        <v>975</v>
      </c>
      <c r="T13" s="307">
        <f t="shared" si="1"/>
        <v>75</v>
      </c>
      <c r="U13" s="307"/>
      <c r="V13" s="307"/>
      <c r="W13" s="307">
        <f t="shared" si="3"/>
        <v>3191.5</v>
      </c>
      <c r="X13" s="307">
        <v>130</v>
      </c>
      <c r="Y13" s="307">
        <f t="shared" si="2"/>
        <v>10</v>
      </c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>
        <f t="shared" si="4"/>
        <v>28600</v>
      </c>
    </row>
    <row r="14" spans="1:36" ht="21.75" customHeight="1">
      <c r="A14" s="2">
        <f t="shared" si="5"/>
        <v>9</v>
      </c>
      <c r="B14" s="4" t="s">
        <v>64</v>
      </c>
      <c r="C14" s="143" t="s">
        <v>45</v>
      </c>
      <c r="D14" s="6" t="s">
        <v>46</v>
      </c>
      <c r="E14" s="18" t="s">
        <v>47</v>
      </c>
      <c r="F14" s="306"/>
      <c r="G14" s="306"/>
      <c r="H14" s="306"/>
      <c r="I14" s="306"/>
      <c r="J14" s="306"/>
      <c r="K14" s="308"/>
      <c r="L14" s="306"/>
      <c r="M14" s="308"/>
      <c r="N14" s="307">
        <f t="shared" si="0"/>
        <v>2216.5</v>
      </c>
      <c r="O14" s="307">
        <f t="shared" si="6"/>
        <v>170.5</v>
      </c>
      <c r="P14" s="307"/>
      <c r="Q14" s="307"/>
      <c r="R14" s="307"/>
      <c r="S14" s="307">
        <v>975</v>
      </c>
      <c r="T14" s="307">
        <f t="shared" si="1"/>
        <v>75</v>
      </c>
      <c r="U14" s="307"/>
      <c r="V14" s="307"/>
      <c r="W14" s="307">
        <f t="shared" si="3"/>
        <v>3191.5</v>
      </c>
      <c r="X14" s="307">
        <v>130</v>
      </c>
      <c r="Y14" s="307">
        <f t="shared" si="2"/>
        <v>10</v>
      </c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>
        <f t="shared" si="4"/>
        <v>28600</v>
      </c>
    </row>
    <row r="15" spans="1:36" ht="21.75" customHeight="1">
      <c r="A15" s="2">
        <f t="shared" si="5"/>
        <v>10</v>
      </c>
      <c r="B15" s="4" t="s">
        <v>66</v>
      </c>
      <c r="C15" s="143" t="s">
        <v>45</v>
      </c>
      <c r="D15" s="6" t="s">
        <v>46</v>
      </c>
      <c r="E15" s="18" t="s">
        <v>47</v>
      </c>
      <c r="F15" s="306"/>
      <c r="G15" s="306"/>
      <c r="H15" s="306"/>
      <c r="I15" s="306"/>
      <c r="J15" s="306"/>
      <c r="K15" s="308"/>
      <c r="L15" s="306"/>
      <c r="M15" s="308"/>
      <c r="N15" s="307">
        <f>AJ15*0.0775</f>
        <v>2216.5</v>
      </c>
      <c r="O15" s="307">
        <f t="shared" si="6"/>
        <v>170.5</v>
      </c>
      <c r="P15" s="307"/>
      <c r="Q15" s="307"/>
      <c r="R15" s="307"/>
      <c r="S15" s="307">
        <v>975</v>
      </c>
      <c r="T15" s="307">
        <f t="shared" si="1"/>
        <v>75</v>
      </c>
      <c r="U15" s="307"/>
      <c r="V15" s="307"/>
      <c r="W15" s="307">
        <f t="shared" si="3"/>
        <v>3191.5</v>
      </c>
      <c r="X15" s="307">
        <v>130</v>
      </c>
      <c r="Y15" s="307">
        <f t="shared" si="2"/>
        <v>10</v>
      </c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>
        <f t="shared" si="4"/>
        <v>28600</v>
      </c>
    </row>
    <row r="16" spans="1:36" ht="21.75" customHeight="1">
      <c r="A16" s="2">
        <f t="shared" si="5"/>
        <v>11</v>
      </c>
      <c r="B16" s="4" t="s">
        <v>68</v>
      </c>
      <c r="C16" s="143" t="s">
        <v>45</v>
      </c>
      <c r="D16" s="6" t="s">
        <v>46</v>
      </c>
      <c r="E16" s="18" t="s">
        <v>47</v>
      </c>
      <c r="F16" s="306"/>
      <c r="G16" s="306"/>
      <c r="H16" s="306"/>
      <c r="I16" s="306"/>
      <c r="J16" s="306"/>
      <c r="K16" s="308"/>
      <c r="L16" s="306"/>
      <c r="M16" s="308"/>
      <c r="N16" s="307">
        <f t="shared" si="0"/>
        <v>2216.5</v>
      </c>
      <c r="O16" s="307"/>
      <c r="P16" s="307">
        <f>N16/13</f>
        <v>170.5</v>
      </c>
      <c r="Q16" s="307"/>
      <c r="R16" s="307"/>
      <c r="S16" s="307">
        <v>975</v>
      </c>
      <c r="T16" s="307">
        <f t="shared" si="1"/>
        <v>75</v>
      </c>
      <c r="U16" s="307"/>
      <c r="V16" s="307"/>
      <c r="W16" s="307">
        <f t="shared" si="3"/>
        <v>3191.5</v>
      </c>
      <c r="X16" s="307">
        <v>130</v>
      </c>
      <c r="Y16" s="307">
        <f t="shared" si="2"/>
        <v>10</v>
      </c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>
        <f t="shared" si="4"/>
        <v>28600</v>
      </c>
    </row>
    <row r="17" spans="1:36" ht="21.75" customHeight="1">
      <c r="A17" s="2">
        <f t="shared" si="5"/>
        <v>12</v>
      </c>
      <c r="B17" s="4" t="s">
        <v>70</v>
      </c>
      <c r="C17" s="143" t="s">
        <v>45</v>
      </c>
      <c r="D17" s="6" t="s">
        <v>46</v>
      </c>
      <c r="E17" s="18" t="s">
        <v>47</v>
      </c>
      <c r="F17" s="306"/>
      <c r="G17" s="306"/>
      <c r="H17" s="306"/>
      <c r="I17" s="306"/>
      <c r="J17" s="306"/>
      <c r="K17" s="308"/>
      <c r="L17" s="306"/>
      <c r="M17" s="308"/>
      <c r="N17" s="307">
        <f t="shared" si="0"/>
        <v>2216.5</v>
      </c>
      <c r="O17" s="307">
        <f t="shared" si="6"/>
        <v>170.5</v>
      </c>
      <c r="P17" s="307"/>
      <c r="Q17" s="307"/>
      <c r="R17" s="307"/>
      <c r="S17" s="307">
        <v>975</v>
      </c>
      <c r="T17" s="307">
        <f t="shared" si="1"/>
        <v>75</v>
      </c>
      <c r="U17" s="307"/>
      <c r="V17" s="307"/>
      <c r="W17" s="307">
        <f t="shared" si="3"/>
        <v>3191.5</v>
      </c>
      <c r="X17" s="307">
        <v>130</v>
      </c>
      <c r="Y17" s="307">
        <f t="shared" si="2"/>
        <v>10</v>
      </c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>
        <f t="shared" si="4"/>
        <v>28600</v>
      </c>
    </row>
    <row r="18" spans="1:36" ht="21.75" customHeight="1">
      <c r="A18" s="2">
        <f t="shared" si="5"/>
        <v>13</v>
      </c>
      <c r="B18" s="4" t="s">
        <v>72</v>
      </c>
      <c r="C18" s="143" t="s">
        <v>45</v>
      </c>
      <c r="D18" s="6" t="s">
        <v>46</v>
      </c>
      <c r="E18" s="18" t="s">
        <v>47</v>
      </c>
      <c r="F18" s="306"/>
      <c r="G18" s="306"/>
      <c r="H18" s="306"/>
      <c r="I18" s="306"/>
      <c r="J18" s="306"/>
      <c r="K18" s="308"/>
      <c r="L18" s="306"/>
      <c r="M18" s="308"/>
      <c r="N18" s="307">
        <f t="shared" si="0"/>
        <v>2216.5</v>
      </c>
      <c r="O18" s="307">
        <f t="shared" si="6"/>
        <v>170.5</v>
      </c>
      <c r="P18" s="307"/>
      <c r="Q18" s="307"/>
      <c r="R18" s="307"/>
      <c r="S18" s="307">
        <v>975</v>
      </c>
      <c r="T18" s="307">
        <f t="shared" si="1"/>
        <v>75</v>
      </c>
      <c r="U18" s="307"/>
      <c r="V18" s="307"/>
      <c r="W18" s="307">
        <f t="shared" si="3"/>
        <v>3191.5</v>
      </c>
      <c r="X18" s="307">
        <v>130</v>
      </c>
      <c r="Y18" s="307">
        <f t="shared" si="2"/>
        <v>10</v>
      </c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>
        <f t="shared" si="4"/>
        <v>28600</v>
      </c>
    </row>
    <row r="19" spans="1:36" ht="21.75" customHeight="1">
      <c r="A19" s="2">
        <f t="shared" si="5"/>
        <v>14</v>
      </c>
      <c r="B19" s="4" t="s">
        <v>74</v>
      </c>
      <c r="C19" s="143" t="s">
        <v>45</v>
      </c>
      <c r="D19" s="6" t="s">
        <v>46</v>
      </c>
      <c r="E19" s="18" t="s">
        <v>47</v>
      </c>
      <c r="F19" s="306"/>
      <c r="G19" s="306"/>
      <c r="H19" s="306"/>
      <c r="I19" s="306"/>
      <c r="J19" s="306"/>
      <c r="K19" s="308"/>
      <c r="L19" s="306"/>
      <c r="M19" s="308"/>
      <c r="N19" s="307">
        <f t="shared" si="0"/>
        <v>2216.5</v>
      </c>
      <c r="O19" s="307"/>
      <c r="P19" s="307">
        <f>N19/13</f>
        <v>170.5</v>
      </c>
      <c r="Q19" s="307"/>
      <c r="R19" s="307"/>
      <c r="S19" s="307">
        <v>975</v>
      </c>
      <c r="T19" s="307">
        <f t="shared" si="1"/>
        <v>75</v>
      </c>
      <c r="U19" s="307"/>
      <c r="V19" s="307"/>
      <c r="W19" s="307">
        <f t="shared" si="3"/>
        <v>3191.5</v>
      </c>
      <c r="X19" s="307">
        <v>130</v>
      </c>
      <c r="Y19" s="307">
        <f t="shared" si="2"/>
        <v>10</v>
      </c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>
        <f t="shared" si="4"/>
        <v>28600</v>
      </c>
    </row>
    <row r="20" spans="1:36">
      <c r="A20" s="14"/>
      <c r="B20" s="311" t="s">
        <v>75</v>
      </c>
      <c r="C20" s="17"/>
      <c r="D20" s="6"/>
      <c r="E20" s="18"/>
      <c r="F20" s="307"/>
      <c r="G20" s="307"/>
      <c r="H20" s="307"/>
      <c r="I20" s="312">
        <f>SUM(I6:I19)</f>
        <v>112000</v>
      </c>
      <c r="J20" s="312">
        <f>SUM(J6:J19)</f>
        <v>3000</v>
      </c>
      <c r="K20" s="312"/>
      <c r="L20" s="307"/>
      <c r="M20" s="312"/>
      <c r="N20" s="312">
        <f t="shared" ref="N20:T20" si="7">SUM(N6:N19)</f>
        <v>31031</v>
      </c>
      <c r="O20" s="312">
        <f t="shared" si="7"/>
        <v>1023</v>
      </c>
      <c r="P20" s="312">
        <f t="shared" si="7"/>
        <v>1364</v>
      </c>
      <c r="Q20" s="312">
        <f t="shared" si="7"/>
        <v>0</v>
      </c>
      <c r="R20" s="312">
        <f t="shared" si="7"/>
        <v>0</v>
      </c>
      <c r="S20" s="312">
        <f t="shared" si="7"/>
        <v>13650</v>
      </c>
      <c r="T20" s="312">
        <f t="shared" si="7"/>
        <v>1050</v>
      </c>
      <c r="U20" s="307"/>
      <c r="V20" s="307"/>
      <c r="W20" s="312">
        <f>SUM(W6:W19)</f>
        <v>44681</v>
      </c>
      <c r="X20" s="312">
        <f>SUM(X6:X19)</f>
        <v>1820</v>
      </c>
      <c r="Y20" s="312">
        <f>SUM(Y6:Y19)</f>
        <v>140</v>
      </c>
      <c r="Z20" s="307"/>
      <c r="AA20" s="307"/>
      <c r="AB20" s="307"/>
      <c r="AC20" s="307"/>
      <c r="AD20" s="307"/>
      <c r="AE20" s="307"/>
      <c r="AF20" s="307"/>
      <c r="AG20" s="312">
        <f>AG6</f>
        <v>60000</v>
      </c>
      <c r="AH20" s="312">
        <f>AH6</f>
        <v>150000</v>
      </c>
      <c r="AI20" s="312">
        <f>SUM(AI6:AI19)</f>
        <v>20000</v>
      </c>
      <c r="AJ20" s="312">
        <f>SUM(AJ6:AJ19)</f>
        <v>400400</v>
      </c>
    </row>
    <row r="21" spans="1:36" ht="17.25" customHeight="1">
      <c r="A21" s="21">
        <v>1</v>
      </c>
      <c r="B21" s="161" t="s">
        <v>140</v>
      </c>
      <c r="C21" s="107" t="s">
        <v>141</v>
      </c>
      <c r="D21" s="313" t="s">
        <v>79</v>
      </c>
      <c r="E21" s="314" t="s">
        <v>47</v>
      </c>
      <c r="F21" s="315">
        <v>3500</v>
      </c>
      <c r="G21" s="316">
        <f>F21*12</f>
        <v>42000</v>
      </c>
      <c r="H21" s="316">
        <v>60</v>
      </c>
      <c r="I21" s="316">
        <v>10000</v>
      </c>
      <c r="J21" s="316">
        <f>F21</f>
        <v>3500</v>
      </c>
      <c r="K21" s="316">
        <v>300</v>
      </c>
      <c r="L21" s="307">
        <v>3500</v>
      </c>
      <c r="M21" s="307"/>
      <c r="N21" s="307">
        <f>F21*0.0775*13</f>
        <v>3526.25</v>
      </c>
      <c r="O21" s="307">
        <f>N21/13</f>
        <v>271.25</v>
      </c>
      <c r="P21" s="307"/>
      <c r="Q21" s="307"/>
      <c r="R21" s="307"/>
      <c r="S21" s="307">
        <f>75*13</f>
        <v>975</v>
      </c>
      <c r="T21" s="307">
        <f>S21/13</f>
        <v>75</v>
      </c>
      <c r="U21" s="307"/>
      <c r="V21" s="307"/>
      <c r="W21" s="307">
        <f>N21+Q21+S21+U21</f>
        <v>4501.25</v>
      </c>
      <c r="X21" s="307">
        <f>10*13</f>
        <v>130</v>
      </c>
      <c r="Y21" s="307">
        <f>X21/13</f>
        <v>10</v>
      </c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</row>
    <row r="22" spans="1:36" ht="17.25" customHeight="1">
      <c r="A22" s="21">
        <f>A21+1</f>
        <v>2</v>
      </c>
      <c r="B22" s="150" t="s">
        <v>143</v>
      </c>
      <c r="C22" s="107" t="s">
        <v>141</v>
      </c>
      <c r="D22" s="313" t="s">
        <v>759</v>
      </c>
      <c r="E22" s="314" t="s">
        <v>47</v>
      </c>
      <c r="F22" s="315">
        <v>500</v>
      </c>
      <c r="G22" s="316">
        <f>F22*12</f>
        <v>6000</v>
      </c>
      <c r="H22" s="316">
        <v>60</v>
      </c>
      <c r="I22" s="316"/>
      <c r="J22" s="316">
        <f>F22</f>
        <v>500</v>
      </c>
      <c r="K22" s="316">
        <v>300</v>
      </c>
      <c r="L22" s="307"/>
      <c r="M22" s="307"/>
      <c r="N22" s="307">
        <f>F22*0.0775*13</f>
        <v>503.75</v>
      </c>
      <c r="O22" s="309"/>
      <c r="P22" s="307">
        <f>N22/13</f>
        <v>38.75</v>
      </c>
      <c r="Q22" s="307"/>
      <c r="R22" s="307"/>
      <c r="S22" s="307">
        <f>F22*0.075*13</f>
        <v>487.5</v>
      </c>
      <c r="T22" s="307">
        <f>S22/13</f>
        <v>37.5</v>
      </c>
      <c r="U22" s="307"/>
      <c r="V22" s="307"/>
      <c r="W22" s="307">
        <f>N22+Q22+S22+U22</f>
        <v>991.25</v>
      </c>
      <c r="X22" s="307">
        <f>F22*0.01*13</f>
        <v>65</v>
      </c>
      <c r="Y22" s="307">
        <f>X22/13</f>
        <v>5</v>
      </c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</row>
    <row r="23" spans="1:36">
      <c r="A23" s="21"/>
      <c r="B23" s="138" t="s">
        <v>144</v>
      </c>
      <c r="C23" s="317"/>
      <c r="D23" s="313"/>
      <c r="E23" s="318"/>
      <c r="F23" s="319">
        <f t="shared" ref="F23:M23" si="8">SUM(F21:F22)</f>
        <v>4000</v>
      </c>
      <c r="G23" s="320">
        <f t="shared" si="8"/>
        <v>48000</v>
      </c>
      <c r="H23" s="320">
        <f t="shared" si="8"/>
        <v>120</v>
      </c>
      <c r="I23" s="320">
        <f t="shared" si="8"/>
        <v>10000</v>
      </c>
      <c r="J23" s="320">
        <f t="shared" si="8"/>
        <v>4000</v>
      </c>
      <c r="K23" s="320">
        <f t="shared" si="8"/>
        <v>600</v>
      </c>
      <c r="L23" s="312">
        <f t="shared" si="8"/>
        <v>3500</v>
      </c>
      <c r="M23" s="312">
        <f t="shared" si="8"/>
        <v>0</v>
      </c>
      <c r="N23" s="312">
        <f t="shared" ref="N23:T23" si="9">SUM(N21:N22)</f>
        <v>4030</v>
      </c>
      <c r="O23" s="312">
        <f t="shared" si="9"/>
        <v>271.25</v>
      </c>
      <c r="P23" s="312">
        <f t="shared" si="9"/>
        <v>38.75</v>
      </c>
      <c r="Q23" s="312">
        <f t="shared" si="9"/>
        <v>0</v>
      </c>
      <c r="R23" s="312">
        <f t="shared" si="9"/>
        <v>0</v>
      </c>
      <c r="S23" s="312">
        <f t="shared" si="9"/>
        <v>1462.5</v>
      </c>
      <c r="T23" s="312">
        <f t="shared" si="9"/>
        <v>112.5</v>
      </c>
      <c r="U23" s="312"/>
      <c r="V23" s="312">
        <f>SUM(V21:V22)</f>
        <v>0</v>
      </c>
      <c r="W23" s="312">
        <f>SUM(W21:W22)</f>
        <v>5492.5</v>
      </c>
      <c r="X23" s="312">
        <f>SUM(X21:X22)</f>
        <v>195</v>
      </c>
      <c r="Y23" s="312">
        <f>SUM(Y21:Y22)</f>
        <v>15</v>
      </c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</row>
    <row r="24" spans="1:36" ht="21" customHeight="1">
      <c r="A24" s="21">
        <f>A22+1</f>
        <v>3</v>
      </c>
      <c r="B24" s="161" t="s">
        <v>782</v>
      </c>
      <c r="C24" s="107" t="s">
        <v>147</v>
      </c>
      <c r="D24" s="313" t="s">
        <v>79</v>
      </c>
      <c r="E24" s="314" t="s">
        <v>47</v>
      </c>
      <c r="F24" s="315">
        <v>1550</v>
      </c>
      <c r="G24" s="316">
        <f>F24*12</f>
        <v>18600</v>
      </c>
      <c r="H24" s="316">
        <v>60</v>
      </c>
      <c r="I24" s="316"/>
      <c r="J24" s="316">
        <f>F24</f>
        <v>1550</v>
      </c>
      <c r="K24" s="316">
        <v>300</v>
      </c>
      <c r="L24" s="307">
        <v>1550</v>
      </c>
      <c r="M24" s="307"/>
      <c r="N24" s="307">
        <f>F24*0.0775*13</f>
        <v>1561.625</v>
      </c>
      <c r="O24" s="321"/>
      <c r="P24" s="307">
        <f>N24/13</f>
        <v>120.125</v>
      </c>
      <c r="Q24" s="307"/>
      <c r="R24" s="307"/>
      <c r="S24" s="307">
        <f>75*13</f>
        <v>975</v>
      </c>
      <c r="T24" s="307">
        <f>S24/13</f>
        <v>75</v>
      </c>
      <c r="U24" s="307"/>
      <c r="V24" s="307"/>
      <c r="W24" s="307">
        <f>N24+Q24+S24+U24</f>
        <v>2536.625</v>
      </c>
      <c r="X24" s="307">
        <f>10*13</f>
        <v>130</v>
      </c>
      <c r="Y24" s="307">
        <f>X24/13</f>
        <v>10</v>
      </c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</row>
    <row r="25" spans="1:36" ht="21" customHeight="1">
      <c r="A25" s="21">
        <f>A24+1</f>
        <v>4</v>
      </c>
      <c r="B25" s="322" t="s">
        <v>162</v>
      </c>
      <c r="C25" s="107" t="s">
        <v>147</v>
      </c>
      <c r="D25" s="313" t="s">
        <v>762</v>
      </c>
      <c r="E25" s="314" t="s">
        <v>47</v>
      </c>
      <c r="F25" s="315">
        <v>500</v>
      </c>
      <c r="G25" s="316">
        <f>F25*12</f>
        <v>6000</v>
      </c>
      <c r="H25" s="316">
        <v>60</v>
      </c>
      <c r="I25" s="323"/>
      <c r="J25" s="316">
        <f>F25</f>
        <v>500</v>
      </c>
      <c r="K25" s="316">
        <v>300</v>
      </c>
      <c r="L25" s="324"/>
      <c r="M25" s="307"/>
      <c r="N25" s="307">
        <f>F25*0.0775*13</f>
        <v>503.75</v>
      </c>
      <c r="O25" s="307">
        <f>N25/13</f>
        <v>38.75</v>
      </c>
      <c r="P25" s="307"/>
      <c r="Q25" s="324"/>
      <c r="R25" s="324"/>
      <c r="S25" s="307">
        <f>F25*0.075*13</f>
        <v>487.5</v>
      </c>
      <c r="T25" s="307">
        <f>S25/13</f>
        <v>37.5</v>
      </c>
      <c r="U25" s="324"/>
      <c r="V25" s="324"/>
      <c r="W25" s="307">
        <f>N25+Q25+S25+U25</f>
        <v>991.25</v>
      </c>
      <c r="X25" s="307">
        <f>F25*0.01*13</f>
        <v>65</v>
      </c>
      <c r="Y25" s="307">
        <f>X25/13</f>
        <v>5</v>
      </c>
      <c r="Z25" s="325"/>
      <c r="AA25" s="325"/>
      <c r="AB25" s="324"/>
      <c r="AC25" s="325"/>
      <c r="AD25" s="324"/>
      <c r="AE25" s="307"/>
      <c r="AF25" s="325"/>
      <c r="AG25" s="325"/>
      <c r="AH25" s="325"/>
      <c r="AI25" s="325"/>
      <c r="AJ25" s="324"/>
    </row>
    <row r="26" spans="1:36">
      <c r="A26" s="21"/>
      <c r="B26" s="138" t="s">
        <v>149</v>
      </c>
      <c r="C26" s="317"/>
      <c r="D26" s="313"/>
      <c r="E26" s="318"/>
      <c r="F26" s="319">
        <f t="shared" ref="F26:N26" si="10">SUM(F24:F25)</f>
        <v>2050</v>
      </c>
      <c r="G26" s="320">
        <f t="shared" si="10"/>
        <v>24600</v>
      </c>
      <c r="H26" s="320">
        <f t="shared" si="10"/>
        <v>120</v>
      </c>
      <c r="I26" s="320">
        <f t="shared" si="10"/>
        <v>0</v>
      </c>
      <c r="J26" s="320">
        <f t="shared" si="10"/>
        <v>2050</v>
      </c>
      <c r="K26" s="320">
        <f t="shared" si="10"/>
        <v>600</v>
      </c>
      <c r="L26" s="312">
        <f t="shared" si="10"/>
        <v>1550</v>
      </c>
      <c r="M26" s="312">
        <f t="shared" si="10"/>
        <v>0</v>
      </c>
      <c r="N26" s="312">
        <f t="shared" si="10"/>
        <v>2065.375</v>
      </c>
      <c r="O26" s="312">
        <f t="shared" ref="O26:T26" si="11">SUM(O24:O25)</f>
        <v>38.75</v>
      </c>
      <c r="P26" s="312">
        <f t="shared" si="11"/>
        <v>120.125</v>
      </c>
      <c r="Q26" s="312">
        <f t="shared" si="11"/>
        <v>0</v>
      </c>
      <c r="R26" s="312">
        <f t="shared" si="11"/>
        <v>0</v>
      </c>
      <c r="S26" s="312">
        <f>SUM(S24:S25)</f>
        <v>1462.5</v>
      </c>
      <c r="T26" s="312">
        <f t="shared" si="11"/>
        <v>112.5</v>
      </c>
      <c r="U26" s="312"/>
      <c r="V26" s="312">
        <f>SUM(V24:V25)</f>
        <v>0</v>
      </c>
      <c r="W26" s="312">
        <f>SUM(W24:W25)</f>
        <v>3527.875</v>
      </c>
      <c r="X26" s="312">
        <f>SUM(X24:X25)</f>
        <v>195</v>
      </c>
      <c r="Y26" s="312">
        <f>SUM(Y24:Y25)</f>
        <v>15</v>
      </c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</row>
    <row r="27" spans="1:36" ht="23.25" customHeight="1">
      <c r="A27" s="21">
        <f>A25+1</f>
        <v>5</v>
      </c>
      <c r="B27" s="322" t="s">
        <v>151</v>
      </c>
      <c r="C27" s="107" t="s">
        <v>152</v>
      </c>
      <c r="D27" s="313" t="s">
        <v>762</v>
      </c>
      <c r="E27" s="314" t="s">
        <v>47</v>
      </c>
      <c r="F27" s="315">
        <f>1100</f>
        <v>1100</v>
      </c>
      <c r="G27" s="316">
        <f>F27*12</f>
        <v>13200</v>
      </c>
      <c r="H27" s="316">
        <v>60</v>
      </c>
      <c r="I27" s="316"/>
      <c r="J27" s="316">
        <f>F27</f>
        <v>1100</v>
      </c>
      <c r="K27" s="316">
        <v>300</v>
      </c>
      <c r="L27" s="307"/>
      <c r="M27" s="307"/>
      <c r="N27" s="307">
        <f>F27*0.0775*13</f>
        <v>1108.25</v>
      </c>
      <c r="O27" s="307"/>
      <c r="P27" s="307">
        <f>N27/13</f>
        <v>85.25</v>
      </c>
      <c r="Q27" s="307"/>
      <c r="R27" s="307"/>
      <c r="S27" s="307">
        <f>75*13</f>
        <v>975</v>
      </c>
      <c r="T27" s="307">
        <f>S27/13</f>
        <v>75</v>
      </c>
      <c r="U27" s="307"/>
      <c r="V27" s="307"/>
      <c r="W27" s="307">
        <f>N27+Q27+S27+U27</f>
        <v>2083.25</v>
      </c>
      <c r="X27" s="307">
        <f>10*13</f>
        <v>130</v>
      </c>
      <c r="Y27" s="307">
        <f>X27/13</f>
        <v>10</v>
      </c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</row>
    <row r="28" spans="1:36" ht="23.25" customHeight="1">
      <c r="A28" s="21">
        <f>A27+1</f>
        <v>6</v>
      </c>
      <c r="B28" s="326" t="s">
        <v>143</v>
      </c>
      <c r="C28" s="107" t="s">
        <v>152</v>
      </c>
      <c r="D28" s="313" t="s">
        <v>79</v>
      </c>
      <c r="E28" s="314" t="s">
        <v>47</v>
      </c>
      <c r="F28" s="315">
        <v>647</v>
      </c>
      <c r="G28" s="316">
        <f>F28*12</f>
        <v>7764</v>
      </c>
      <c r="H28" s="316">
        <v>60</v>
      </c>
      <c r="I28" s="316"/>
      <c r="J28" s="316">
        <f>F28</f>
        <v>647</v>
      </c>
      <c r="K28" s="316">
        <v>300</v>
      </c>
      <c r="L28" s="307"/>
      <c r="M28" s="307">
        <v>125</v>
      </c>
      <c r="N28" s="307">
        <f>F28*0.0775*13</f>
        <v>651.85249999999996</v>
      </c>
      <c r="O28" s="321"/>
      <c r="P28" s="307">
        <f>N28/13</f>
        <v>50.142499999999998</v>
      </c>
      <c r="Q28" s="307"/>
      <c r="R28" s="307"/>
      <c r="S28" s="307">
        <f>F28*0.075*13</f>
        <v>630.82499999999993</v>
      </c>
      <c r="T28" s="307">
        <f>S28/13</f>
        <v>48.524999999999991</v>
      </c>
      <c r="U28" s="307"/>
      <c r="V28" s="307"/>
      <c r="W28" s="307">
        <f>N28+Q28+S28+U28</f>
        <v>1282.6774999999998</v>
      </c>
      <c r="X28" s="307">
        <f>F28*0.01*13</f>
        <v>84.11</v>
      </c>
      <c r="Y28" s="307">
        <f>X28/13</f>
        <v>6.47</v>
      </c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</row>
    <row r="29" spans="1:36" ht="23.25" customHeight="1">
      <c r="A29" s="21">
        <f>A28+1</f>
        <v>7</v>
      </c>
      <c r="B29" s="224" t="s">
        <v>91</v>
      </c>
      <c r="C29" s="107" t="s">
        <v>152</v>
      </c>
      <c r="D29" s="313" t="s">
        <v>79</v>
      </c>
      <c r="E29" s="314" t="s">
        <v>47</v>
      </c>
      <c r="F29" s="315">
        <f>567+30+50+50</f>
        <v>697</v>
      </c>
      <c r="G29" s="316">
        <f>F29*12</f>
        <v>8364</v>
      </c>
      <c r="H29" s="316">
        <v>60</v>
      </c>
      <c r="I29" s="316"/>
      <c r="J29" s="316">
        <f>F29</f>
        <v>697</v>
      </c>
      <c r="K29" s="316">
        <v>300</v>
      </c>
      <c r="L29" s="307"/>
      <c r="M29" s="307">
        <v>125</v>
      </c>
      <c r="N29" s="307">
        <f>F29*0.0775*13</f>
        <v>702.22749999999996</v>
      </c>
      <c r="O29" s="321"/>
      <c r="P29" s="307">
        <f>N29/13</f>
        <v>54.017499999999998</v>
      </c>
      <c r="Q29" s="307"/>
      <c r="R29" s="307"/>
      <c r="S29" s="307">
        <f>F29*0.075*13</f>
        <v>679.57499999999993</v>
      </c>
      <c r="T29" s="307">
        <f>S29/13</f>
        <v>52.274999999999991</v>
      </c>
      <c r="U29" s="307"/>
      <c r="V29" s="307"/>
      <c r="W29" s="307">
        <f>N29+Q29+S29+U29</f>
        <v>1381.8024999999998</v>
      </c>
      <c r="X29" s="307">
        <f>F29*0.01*13</f>
        <v>90.61</v>
      </c>
      <c r="Y29" s="307">
        <f>X29/13</f>
        <v>6.97</v>
      </c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</row>
    <row r="30" spans="1:36">
      <c r="A30" s="21"/>
      <c r="B30" s="138" t="s">
        <v>155</v>
      </c>
      <c r="C30" s="107"/>
      <c r="D30" s="313"/>
      <c r="E30" s="314"/>
      <c r="F30" s="319">
        <f t="shared" ref="F30:K30" si="12">SUM(F27:F29)</f>
        <v>2444</v>
      </c>
      <c r="G30" s="320">
        <f t="shared" si="12"/>
        <v>29328</v>
      </c>
      <c r="H30" s="320">
        <f t="shared" si="12"/>
        <v>180</v>
      </c>
      <c r="I30" s="320">
        <f t="shared" si="12"/>
        <v>0</v>
      </c>
      <c r="J30" s="320">
        <f t="shared" si="12"/>
        <v>2444</v>
      </c>
      <c r="K30" s="320">
        <f t="shared" si="12"/>
        <v>900</v>
      </c>
      <c r="L30" s="312"/>
      <c r="M30" s="312">
        <f>SUM(M27:M29)</f>
        <v>250</v>
      </c>
      <c r="N30" s="312">
        <f t="shared" ref="N30:Y30" si="13">SUM(N27:N29)</f>
        <v>2462.33</v>
      </c>
      <c r="O30" s="312">
        <f t="shared" si="13"/>
        <v>0</v>
      </c>
      <c r="P30" s="312">
        <f t="shared" si="13"/>
        <v>189.40999999999997</v>
      </c>
      <c r="Q30" s="312">
        <f t="shared" si="13"/>
        <v>0</v>
      </c>
      <c r="R30" s="312">
        <f t="shared" si="13"/>
        <v>0</v>
      </c>
      <c r="S30" s="312">
        <f>SUM(S27:S29)+0.01</f>
        <v>2285.41</v>
      </c>
      <c r="T30" s="312">
        <f t="shared" si="13"/>
        <v>175.79999999999998</v>
      </c>
      <c r="U30" s="312">
        <f t="shared" si="13"/>
        <v>0</v>
      </c>
      <c r="V30" s="312">
        <f t="shared" si="13"/>
        <v>0</v>
      </c>
      <c r="W30" s="312">
        <f t="shared" si="13"/>
        <v>4747.7299999999996</v>
      </c>
      <c r="X30" s="312">
        <f t="shared" si="13"/>
        <v>304.72000000000003</v>
      </c>
      <c r="Y30" s="312">
        <f t="shared" si="13"/>
        <v>23.439999999999998</v>
      </c>
      <c r="Z30" s="312"/>
      <c r="AA30" s="312"/>
      <c r="AB30" s="312"/>
      <c r="AC30" s="312"/>
      <c r="AD30" s="312"/>
      <c r="AE30" s="312"/>
      <c r="AF30" s="312"/>
      <c r="AG30" s="312"/>
      <c r="AH30" s="312"/>
      <c r="AI30" s="312"/>
      <c r="AJ30" s="312"/>
    </row>
    <row r="31" spans="1:36" ht="19.5" customHeight="1">
      <c r="A31" s="21">
        <f>A29+1</f>
        <v>8</v>
      </c>
      <c r="B31" s="134" t="s">
        <v>77</v>
      </c>
      <c r="C31" s="107" t="s">
        <v>78</v>
      </c>
      <c r="D31" s="313" t="s">
        <v>79</v>
      </c>
      <c r="E31" s="314" t="s">
        <v>47</v>
      </c>
      <c r="F31" s="315">
        <v>5000</v>
      </c>
      <c r="G31" s="307">
        <f>F31*12</f>
        <v>60000</v>
      </c>
      <c r="H31" s="307">
        <v>60</v>
      </c>
      <c r="I31" s="307">
        <v>20000</v>
      </c>
      <c r="J31" s="307">
        <f>F31</f>
        <v>5000</v>
      </c>
      <c r="K31" s="307">
        <v>300</v>
      </c>
      <c r="L31" s="307">
        <v>5000</v>
      </c>
      <c r="M31" s="307"/>
      <c r="N31" s="307">
        <f>F31*0.0775*13</f>
        <v>5037.5</v>
      </c>
      <c r="O31" s="307">
        <f>N31/13</f>
        <v>387.5</v>
      </c>
      <c r="P31" s="186"/>
      <c r="Q31" s="307"/>
      <c r="R31" s="307"/>
      <c r="S31" s="307">
        <f>75*13</f>
        <v>975</v>
      </c>
      <c r="T31" s="307">
        <f>S31/13</f>
        <v>75</v>
      </c>
      <c r="U31" s="307"/>
      <c r="V31" s="307"/>
      <c r="W31" s="307">
        <f>N31+Q31+S31+U31</f>
        <v>6012.5</v>
      </c>
      <c r="X31" s="307">
        <v>130</v>
      </c>
      <c r="Y31" s="307">
        <f>X31/13</f>
        <v>10</v>
      </c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</row>
    <row r="32" spans="1:36" ht="19.5" customHeight="1">
      <c r="A32" s="21">
        <f>A31+1</f>
        <v>9</v>
      </c>
      <c r="B32" s="164" t="s">
        <v>81</v>
      </c>
      <c r="C32" s="107" t="s">
        <v>78</v>
      </c>
      <c r="D32" s="313" t="s">
        <v>759</v>
      </c>
      <c r="E32" s="314" t="s">
        <v>47</v>
      </c>
      <c r="F32" s="315">
        <v>500</v>
      </c>
      <c r="G32" s="307">
        <f>F32*12</f>
        <v>6000</v>
      </c>
      <c r="H32" s="307">
        <v>60</v>
      </c>
      <c r="I32" s="307"/>
      <c r="J32" s="307">
        <f>F32</f>
        <v>500</v>
      </c>
      <c r="K32" s="307">
        <v>300</v>
      </c>
      <c r="L32" s="307"/>
      <c r="M32" s="307"/>
      <c r="N32" s="307">
        <f>F32*0.0775*13</f>
        <v>503.75</v>
      </c>
      <c r="O32" s="315"/>
      <c r="P32" s="307">
        <f>N32/13</f>
        <v>38.75</v>
      </c>
      <c r="Q32" s="307"/>
      <c r="R32" s="307"/>
      <c r="S32" s="307">
        <f>F32*0.075*13</f>
        <v>487.5</v>
      </c>
      <c r="T32" s="307">
        <f>S32/13</f>
        <v>37.5</v>
      </c>
      <c r="U32" s="307"/>
      <c r="V32" s="307"/>
      <c r="W32" s="307">
        <f>N32+Q32+S32+U32</f>
        <v>991.25</v>
      </c>
      <c r="X32" s="307">
        <f>F32*0.01*13</f>
        <v>65</v>
      </c>
      <c r="Y32" s="307">
        <f>X32/13</f>
        <v>5</v>
      </c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</row>
    <row r="33" spans="1:36" ht="19.5" customHeight="1">
      <c r="A33" s="21">
        <f>A32+1</f>
        <v>10</v>
      </c>
      <c r="B33" s="164" t="s">
        <v>83</v>
      </c>
      <c r="C33" s="107" t="s">
        <v>78</v>
      </c>
      <c r="D33" s="313" t="s">
        <v>759</v>
      </c>
      <c r="E33" s="314" t="s">
        <v>47</v>
      </c>
      <c r="F33" s="315">
        <v>500</v>
      </c>
      <c r="G33" s="307">
        <f>F33*12</f>
        <v>6000</v>
      </c>
      <c r="H33" s="307">
        <v>60</v>
      </c>
      <c r="I33" s="307"/>
      <c r="J33" s="307">
        <f>F33</f>
        <v>500</v>
      </c>
      <c r="K33" s="307">
        <v>300</v>
      </c>
      <c r="L33" s="307"/>
      <c r="M33" s="307"/>
      <c r="N33" s="307">
        <f>F33*0.0775*13</f>
        <v>503.75</v>
      </c>
      <c r="O33" s="307">
        <f>N33/13</f>
        <v>38.75</v>
      </c>
      <c r="P33" s="307"/>
      <c r="Q33" s="307"/>
      <c r="R33" s="307"/>
      <c r="S33" s="307">
        <f>F33*0.075*13</f>
        <v>487.5</v>
      </c>
      <c r="T33" s="307">
        <f>S33/13</f>
        <v>37.5</v>
      </c>
      <c r="U33" s="307"/>
      <c r="V33" s="307"/>
      <c r="W33" s="307">
        <f>N33+Q33+S33+U33</f>
        <v>991.25</v>
      </c>
      <c r="X33" s="307">
        <f>F33*0.01*13</f>
        <v>65</v>
      </c>
      <c r="Y33" s="307">
        <f>X33/13</f>
        <v>5</v>
      </c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</row>
    <row r="34" spans="1:36" ht="19.5" customHeight="1">
      <c r="A34" s="21">
        <f>A33+1</f>
        <v>11</v>
      </c>
      <c r="B34" s="163" t="s">
        <v>85</v>
      </c>
      <c r="C34" s="107" t="s">
        <v>78</v>
      </c>
      <c r="D34" s="313" t="s">
        <v>79</v>
      </c>
      <c r="E34" s="314" t="s">
        <v>47</v>
      </c>
      <c r="F34" s="315">
        <f>467+30+50+50</f>
        <v>597</v>
      </c>
      <c r="G34" s="307">
        <f>F34*12</f>
        <v>7164</v>
      </c>
      <c r="H34" s="307">
        <v>60</v>
      </c>
      <c r="I34" s="307"/>
      <c r="J34" s="307">
        <f>F34</f>
        <v>597</v>
      </c>
      <c r="K34" s="307">
        <v>300</v>
      </c>
      <c r="L34" s="307"/>
      <c r="M34" s="307">
        <v>125</v>
      </c>
      <c r="N34" s="307">
        <f>F34*0.0775*13</f>
        <v>601.47749999999996</v>
      </c>
      <c r="O34" s="315">
        <f>N34/13</f>
        <v>46.267499999999998</v>
      </c>
      <c r="P34" s="186"/>
      <c r="Q34" s="307"/>
      <c r="R34" s="307"/>
      <c r="S34" s="307">
        <f>F34*0.075*13</f>
        <v>582.07499999999993</v>
      </c>
      <c r="T34" s="307">
        <f>S34/13</f>
        <v>44.774999999999991</v>
      </c>
      <c r="U34" s="307"/>
      <c r="V34" s="307"/>
      <c r="W34" s="307">
        <f>N34+Q34+S34+U34</f>
        <v>1183.5524999999998</v>
      </c>
      <c r="X34" s="307">
        <f>F34*0.01*13</f>
        <v>77.61</v>
      </c>
      <c r="Y34" s="307">
        <f>X34/13</f>
        <v>5.97</v>
      </c>
      <c r="Z34" s="307">
        <f>F34/30/7*1.5*45</f>
        <v>191.89285714285714</v>
      </c>
      <c r="AA34" s="307">
        <f>Z34*0.0775</f>
        <v>14.871696428571429</v>
      </c>
      <c r="AB34" s="307"/>
      <c r="AC34" s="307">
        <f>Z34*0.075</f>
        <v>14.391964285714284</v>
      </c>
      <c r="AD34" s="307"/>
      <c r="AE34" s="307">
        <f>AA34+AB34+AC34+AD34+0.01</f>
        <v>29.273660714285715</v>
      </c>
      <c r="AF34" s="307">
        <f>Z34*0.01</f>
        <v>1.9189285714285713</v>
      </c>
      <c r="AG34" s="307"/>
      <c r="AH34" s="307"/>
      <c r="AI34" s="307"/>
      <c r="AJ34" s="307"/>
    </row>
    <row r="35" spans="1:36">
      <c r="A35" s="28"/>
      <c r="B35" s="138" t="s">
        <v>86</v>
      </c>
      <c r="C35" s="107"/>
      <c r="D35" s="313"/>
      <c r="E35" s="314"/>
      <c r="F35" s="319">
        <f t="shared" ref="F35:M35" si="14">SUM(F31:F34)</f>
        <v>6597</v>
      </c>
      <c r="G35" s="320">
        <f t="shared" si="14"/>
        <v>79164</v>
      </c>
      <c r="H35" s="320">
        <f t="shared" si="14"/>
        <v>240</v>
      </c>
      <c r="I35" s="320">
        <f t="shared" si="14"/>
        <v>20000</v>
      </c>
      <c r="J35" s="320">
        <f t="shared" si="14"/>
        <v>6597</v>
      </c>
      <c r="K35" s="320">
        <f t="shared" si="14"/>
        <v>1200</v>
      </c>
      <c r="L35" s="312">
        <f t="shared" si="14"/>
        <v>5000</v>
      </c>
      <c r="M35" s="312">
        <f t="shared" si="14"/>
        <v>125</v>
      </c>
      <c r="N35" s="312">
        <f t="shared" ref="N35:T35" si="15">SUM(N31:N34)</f>
        <v>6646.4775</v>
      </c>
      <c r="O35" s="312">
        <f t="shared" si="15"/>
        <v>472.51749999999998</v>
      </c>
      <c r="P35" s="312">
        <f t="shared" si="15"/>
        <v>38.75</v>
      </c>
      <c r="Q35" s="307">
        <f t="shared" si="15"/>
        <v>0</v>
      </c>
      <c r="R35" s="307">
        <f t="shared" si="15"/>
        <v>0</v>
      </c>
      <c r="S35" s="312">
        <f t="shared" si="15"/>
        <v>2532.0749999999998</v>
      </c>
      <c r="T35" s="312">
        <f t="shared" si="15"/>
        <v>194.77499999999998</v>
      </c>
      <c r="U35" s="307"/>
      <c r="V35" s="307"/>
      <c r="W35" s="312">
        <f>SUM(W31:W34)</f>
        <v>9178.5524999999998</v>
      </c>
      <c r="X35" s="312">
        <f>SUM(X31:X34)</f>
        <v>337.61</v>
      </c>
      <c r="Y35" s="312">
        <f>SUM(Y31:Y34)</f>
        <v>25.97</v>
      </c>
      <c r="Z35" s="312">
        <f>SUM(Z31:Z34)</f>
        <v>191.89285714285714</v>
      </c>
      <c r="AA35" s="312">
        <f>SUM(AA31:AA34)</f>
        <v>14.871696428571429</v>
      </c>
      <c r="AB35" s="307"/>
      <c r="AC35" s="312">
        <f>SUM(AC31:AC34)</f>
        <v>14.391964285714284</v>
      </c>
      <c r="AD35" s="307"/>
      <c r="AE35" s="312">
        <f>SUM(AE31:AE34)</f>
        <v>29.273660714285715</v>
      </c>
      <c r="AF35" s="312">
        <f>SUM(AF31:AF34)</f>
        <v>1.9189285714285713</v>
      </c>
      <c r="AG35" s="312"/>
      <c r="AH35" s="312"/>
      <c r="AI35" s="312"/>
      <c r="AJ35" s="312"/>
    </row>
    <row r="36" spans="1:36" ht="21" customHeight="1">
      <c r="A36" s="21">
        <f>A34+1</f>
        <v>12</v>
      </c>
      <c r="B36" s="161" t="s">
        <v>157</v>
      </c>
      <c r="C36" s="107" t="s">
        <v>158</v>
      </c>
      <c r="D36" s="313" t="s">
        <v>79</v>
      </c>
      <c r="E36" s="314" t="s">
        <v>47</v>
      </c>
      <c r="F36" s="315">
        <v>1300</v>
      </c>
      <c r="G36" s="316">
        <f>F36*12</f>
        <v>15600</v>
      </c>
      <c r="H36" s="316">
        <v>60</v>
      </c>
      <c r="I36" s="316"/>
      <c r="J36" s="316">
        <f>F36</f>
        <v>1300</v>
      </c>
      <c r="K36" s="316">
        <v>300</v>
      </c>
      <c r="L36" s="307"/>
      <c r="M36" s="307">
        <v>125</v>
      </c>
      <c r="N36" s="307">
        <f>F36*0.0775*13</f>
        <v>1309.75</v>
      </c>
      <c r="O36" s="307"/>
      <c r="P36" s="307">
        <f>N36/13</f>
        <v>100.75</v>
      </c>
      <c r="Q36" s="307"/>
      <c r="R36" s="307"/>
      <c r="S36" s="307">
        <f>75*13</f>
        <v>975</v>
      </c>
      <c r="T36" s="307">
        <f>S36/13</f>
        <v>75</v>
      </c>
      <c r="U36" s="307"/>
      <c r="V36" s="307"/>
      <c r="W36" s="307">
        <f>N36+Q36+S36+U36</f>
        <v>2284.75</v>
      </c>
      <c r="X36" s="307">
        <f>10*13</f>
        <v>130</v>
      </c>
      <c r="Y36" s="307">
        <f>X36/13</f>
        <v>10</v>
      </c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</row>
    <row r="37" spans="1:36" ht="21" customHeight="1">
      <c r="A37" s="21">
        <f>A36+1</f>
        <v>13</v>
      </c>
      <c r="B37" s="147" t="s">
        <v>162</v>
      </c>
      <c r="C37" s="107" t="s">
        <v>158</v>
      </c>
      <c r="D37" s="313" t="s">
        <v>79</v>
      </c>
      <c r="E37" s="314" t="s">
        <v>47</v>
      </c>
      <c r="F37" s="315">
        <f>517+50</f>
        <v>567</v>
      </c>
      <c r="G37" s="316">
        <f>F37*12</f>
        <v>6804</v>
      </c>
      <c r="H37" s="316">
        <v>60</v>
      </c>
      <c r="I37" s="323"/>
      <c r="J37" s="316">
        <f>F37</f>
        <v>567</v>
      </c>
      <c r="K37" s="316">
        <v>300</v>
      </c>
      <c r="L37" s="324"/>
      <c r="M37" s="307"/>
      <c r="N37" s="307">
        <f>F37*0.0775*13</f>
        <v>571.25250000000005</v>
      </c>
      <c r="O37" s="321"/>
      <c r="P37" s="307">
        <f>N37/13</f>
        <v>43.942500000000003</v>
      </c>
      <c r="Q37" s="324"/>
      <c r="R37" s="324"/>
      <c r="S37" s="307">
        <f>F37*0.075*13</f>
        <v>552.82499999999993</v>
      </c>
      <c r="T37" s="307">
        <f>S37/13</f>
        <v>42.524999999999991</v>
      </c>
      <c r="U37" s="324"/>
      <c r="V37" s="324"/>
      <c r="W37" s="307">
        <f>N37+Q37+S37+U37+0.01</f>
        <v>1124.0874999999999</v>
      </c>
      <c r="X37" s="307">
        <f>F37*0.01*13</f>
        <v>73.709999999999994</v>
      </c>
      <c r="Y37" s="307">
        <f>X37/13</f>
        <v>5.67</v>
      </c>
      <c r="Z37" s="325"/>
      <c r="AA37" s="325"/>
      <c r="AB37" s="324"/>
      <c r="AC37" s="325"/>
      <c r="AD37" s="324"/>
      <c r="AE37" s="307"/>
      <c r="AF37" s="325"/>
      <c r="AG37" s="325"/>
      <c r="AH37" s="325"/>
      <c r="AI37" s="325"/>
      <c r="AJ37" s="324"/>
    </row>
    <row r="38" spans="1:36">
      <c r="A38" s="21"/>
      <c r="B38" s="138" t="s">
        <v>163</v>
      </c>
      <c r="C38" s="107"/>
      <c r="D38" s="327"/>
      <c r="E38" s="318"/>
      <c r="F38" s="319">
        <f t="shared" ref="F38:K38" si="16">SUM(F36:F37)</f>
        <v>1867</v>
      </c>
      <c r="G38" s="320">
        <f t="shared" si="16"/>
        <v>22404</v>
      </c>
      <c r="H38" s="320">
        <f t="shared" si="16"/>
        <v>120</v>
      </c>
      <c r="I38" s="320">
        <f t="shared" si="16"/>
        <v>0</v>
      </c>
      <c r="J38" s="320">
        <f t="shared" si="16"/>
        <v>1867</v>
      </c>
      <c r="K38" s="320">
        <f t="shared" si="16"/>
        <v>600</v>
      </c>
      <c r="L38" s="312"/>
      <c r="M38" s="312">
        <f>SUM(M36:M37)</f>
        <v>125</v>
      </c>
      <c r="N38" s="312">
        <f t="shared" ref="N38:Y38" si="17">SUM(N36:N37)</f>
        <v>1881.0025000000001</v>
      </c>
      <c r="O38" s="312">
        <f t="shared" si="17"/>
        <v>0</v>
      </c>
      <c r="P38" s="312">
        <f t="shared" si="17"/>
        <v>144.6925</v>
      </c>
      <c r="Q38" s="312">
        <f t="shared" si="17"/>
        <v>0</v>
      </c>
      <c r="R38" s="312">
        <f t="shared" si="17"/>
        <v>0</v>
      </c>
      <c r="S38" s="312">
        <f t="shared" si="17"/>
        <v>1527.8249999999998</v>
      </c>
      <c r="T38" s="312">
        <f t="shared" si="17"/>
        <v>117.52499999999999</v>
      </c>
      <c r="U38" s="312">
        <f t="shared" si="17"/>
        <v>0</v>
      </c>
      <c r="V38" s="312">
        <f t="shared" si="17"/>
        <v>0</v>
      </c>
      <c r="W38" s="312">
        <f t="shared" si="17"/>
        <v>3408.8374999999996</v>
      </c>
      <c r="X38" s="312">
        <f t="shared" si="17"/>
        <v>203.70999999999998</v>
      </c>
      <c r="Y38" s="312">
        <f t="shared" si="17"/>
        <v>15.67</v>
      </c>
      <c r="Z38" s="312"/>
      <c r="AA38" s="312"/>
      <c r="AB38" s="312"/>
      <c r="AC38" s="312"/>
      <c r="AD38" s="312"/>
      <c r="AE38" s="312"/>
      <c r="AF38" s="312"/>
      <c r="AG38" s="312"/>
      <c r="AH38" s="312"/>
      <c r="AI38" s="312"/>
      <c r="AJ38" s="312"/>
    </row>
    <row r="39" spans="1:36" ht="29.25" customHeight="1">
      <c r="A39" s="21">
        <f>A37+1</f>
        <v>14</v>
      </c>
      <c r="B39" s="165" t="s">
        <v>120</v>
      </c>
      <c r="C39" s="140" t="s">
        <v>773</v>
      </c>
      <c r="D39" s="313" t="s">
        <v>759</v>
      </c>
      <c r="E39" s="314" t="s">
        <v>47</v>
      </c>
      <c r="F39" s="315">
        <v>1000</v>
      </c>
      <c r="G39" s="316">
        <f>F39*12</f>
        <v>12000</v>
      </c>
      <c r="H39" s="316">
        <v>60</v>
      </c>
      <c r="I39" s="316"/>
      <c r="J39" s="316">
        <f>F39</f>
        <v>1000</v>
      </c>
      <c r="K39" s="316">
        <v>300</v>
      </c>
      <c r="L39" s="307"/>
      <c r="M39" s="307"/>
      <c r="N39" s="307">
        <f>F39*0.0775*13</f>
        <v>1007.5</v>
      </c>
      <c r="O39" s="307"/>
      <c r="P39" s="307">
        <f>N39/13</f>
        <v>77.5</v>
      </c>
      <c r="Q39" s="307"/>
      <c r="R39" s="307"/>
      <c r="S39" s="307">
        <f>F39*0.075*13</f>
        <v>975</v>
      </c>
      <c r="T39" s="307">
        <f>S39/13</f>
        <v>75</v>
      </c>
      <c r="U39" s="307"/>
      <c r="V39" s="307"/>
      <c r="W39" s="307">
        <f>N39+Q39+S39+U39</f>
        <v>1982.5</v>
      </c>
      <c r="X39" s="307">
        <f>10*13</f>
        <v>130</v>
      </c>
      <c r="Y39" s="307">
        <f>X39/13</f>
        <v>10</v>
      </c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  <c r="AJ39" s="307"/>
    </row>
    <row r="40" spans="1:36" ht="29.25" customHeight="1">
      <c r="A40" s="21">
        <f>A39+1</f>
        <v>15</v>
      </c>
      <c r="B40" s="147" t="s">
        <v>766</v>
      </c>
      <c r="C40" s="140" t="s">
        <v>773</v>
      </c>
      <c r="D40" s="313" t="s">
        <v>79</v>
      </c>
      <c r="E40" s="314" t="s">
        <v>47</v>
      </c>
      <c r="F40" s="315">
        <f>730+50</f>
        <v>780</v>
      </c>
      <c r="G40" s="316">
        <f>F40*12</f>
        <v>9360</v>
      </c>
      <c r="H40" s="316">
        <v>60</v>
      </c>
      <c r="I40" s="316"/>
      <c r="J40" s="316">
        <f>F40</f>
        <v>780</v>
      </c>
      <c r="K40" s="316">
        <v>300</v>
      </c>
      <c r="L40" s="307"/>
      <c r="M40" s="307"/>
      <c r="N40" s="307">
        <f>F40*0.0775*13</f>
        <v>785.85</v>
      </c>
      <c r="O40" s="321"/>
      <c r="P40" s="307">
        <f>N40/13</f>
        <v>60.45</v>
      </c>
      <c r="Q40" s="307"/>
      <c r="R40" s="307"/>
      <c r="S40" s="307">
        <f>F40*0.075*13</f>
        <v>760.5</v>
      </c>
      <c r="T40" s="307">
        <f>S40/13</f>
        <v>58.5</v>
      </c>
      <c r="U40" s="307"/>
      <c r="V40" s="307"/>
      <c r="W40" s="307">
        <f>N40+Q40+S40+U40</f>
        <v>1546.35</v>
      </c>
      <c r="X40" s="307">
        <f>F40*0.01*13</f>
        <v>101.39999999999999</v>
      </c>
      <c r="Y40" s="307">
        <f>X40/13</f>
        <v>7.7999999999999989</v>
      </c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  <c r="AJ40" s="307"/>
    </row>
    <row r="41" spans="1:36" ht="29.25" customHeight="1">
      <c r="A41" s="21">
        <f>A40+1</f>
        <v>16</v>
      </c>
      <c r="B41" s="148" t="s">
        <v>123</v>
      </c>
      <c r="C41" s="140" t="s">
        <v>773</v>
      </c>
      <c r="D41" s="313" t="s">
        <v>79</v>
      </c>
      <c r="E41" s="314" t="s">
        <v>47</v>
      </c>
      <c r="F41" s="315">
        <f>467+30+50+50</f>
        <v>597</v>
      </c>
      <c r="G41" s="316">
        <f>F41*12</f>
        <v>7164</v>
      </c>
      <c r="H41" s="316">
        <v>60</v>
      </c>
      <c r="I41" s="323"/>
      <c r="J41" s="316">
        <f>F41</f>
        <v>597</v>
      </c>
      <c r="K41" s="316">
        <v>300</v>
      </c>
      <c r="L41" s="324"/>
      <c r="M41" s="307">
        <v>125</v>
      </c>
      <c r="N41" s="307">
        <f>F41*0.0775*13</f>
        <v>601.47749999999996</v>
      </c>
      <c r="O41" s="307">
        <f>N41/13</f>
        <v>46.267499999999998</v>
      </c>
      <c r="P41" s="307"/>
      <c r="Q41" s="307"/>
      <c r="R41" s="307"/>
      <c r="S41" s="307">
        <f>F41*0.075*13</f>
        <v>582.07499999999993</v>
      </c>
      <c r="T41" s="307">
        <f>S41/13</f>
        <v>44.774999999999991</v>
      </c>
      <c r="U41" s="307"/>
      <c r="V41" s="307"/>
      <c r="W41" s="307">
        <f>N41+Q41+S41+U41</f>
        <v>1183.5524999999998</v>
      </c>
      <c r="X41" s="307">
        <f>F41*0.01*13</f>
        <v>77.61</v>
      </c>
      <c r="Y41" s="307">
        <f>X41/13</f>
        <v>5.97</v>
      </c>
      <c r="Z41" s="325"/>
      <c r="AA41" s="325"/>
      <c r="AB41" s="324"/>
      <c r="AC41" s="325"/>
      <c r="AD41" s="324"/>
      <c r="AE41" s="307"/>
      <c r="AF41" s="325"/>
      <c r="AG41" s="325"/>
      <c r="AH41" s="325"/>
      <c r="AI41" s="325"/>
      <c r="AJ41" s="324"/>
    </row>
    <row r="42" spans="1:36" ht="29.25" customHeight="1">
      <c r="A42" s="21">
        <f>A41+1</f>
        <v>17</v>
      </c>
      <c r="B42" s="148" t="s">
        <v>123</v>
      </c>
      <c r="C42" s="140" t="s">
        <v>773</v>
      </c>
      <c r="D42" s="313" t="s">
        <v>79</v>
      </c>
      <c r="E42" s="314" t="s">
        <v>47</v>
      </c>
      <c r="F42" s="315">
        <f>517+30</f>
        <v>547</v>
      </c>
      <c r="G42" s="316">
        <f>F42*12</f>
        <v>6564</v>
      </c>
      <c r="H42" s="316">
        <v>60</v>
      </c>
      <c r="I42" s="323"/>
      <c r="J42" s="316">
        <f>F42</f>
        <v>547</v>
      </c>
      <c r="K42" s="316">
        <v>300</v>
      </c>
      <c r="L42" s="324"/>
      <c r="M42" s="307">
        <v>125</v>
      </c>
      <c r="N42" s="307">
        <f>F42*0.0775*13</f>
        <v>551.10249999999996</v>
      </c>
      <c r="O42" s="307">
        <f>N42/13</f>
        <v>42.392499999999998</v>
      </c>
      <c r="P42" s="307"/>
      <c r="Q42" s="307"/>
      <c r="R42" s="307"/>
      <c r="S42" s="307">
        <f>F42*0.075*13</f>
        <v>533.32499999999993</v>
      </c>
      <c r="T42" s="307">
        <f>S42/13</f>
        <v>41.024999999999991</v>
      </c>
      <c r="U42" s="307"/>
      <c r="V42" s="307"/>
      <c r="W42" s="307">
        <f>N42+Q42+S42+U42+0.01</f>
        <v>1084.4374999999998</v>
      </c>
      <c r="X42" s="307">
        <f>F42*0.01*13</f>
        <v>71.11</v>
      </c>
      <c r="Y42" s="307">
        <f>X42/13</f>
        <v>5.47</v>
      </c>
      <c r="Z42" s="325"/>
      <c r="AA42" s="325"/>
      <c r="AB42" s="324"/>
      <c r="AC42" s="325"/>
      <c r="AD42" s="324"/>
      <c r="AE42" s="307"/>
      <c r="AF42" s="325"/>
      <c r="AG42" s="325"/>
      <c r="AH42" s="325"/>
      <c r="AI42" s="325"/>
      <c r="AJ42" s="324"/>
    </row>
    <row r="43" spans="1:36">
      <c r="A43" s="21"/>
      <c r="B43" s="413" t="s">
        <v>774</v>
      </c>
      <c r="C43" s="414"/>
      <c r="D43" s="415"/>
      <c r="E43" s="314"/>
      <c r="F43" s="319">
        <f>SUM(F39:F42)</f>
        <v>2924</v>
      </c>
      <c r="G43" s="319">
        <f t="shared" ref="G43:AJ43" si="18">SUM(G39:G42)</f>
        <v>35088</v>
      </c>
      <c r="H43" s="319">
        <f t="shared" si="18"/>
        <v>240</v>
      </c>
      <c r="I43" s="319">
        <f t="shared" si="18"/>
        <v>0</v>
      </c>
      <c r="J43" s="319">
        <f t="shared" si="18"/>
        <v>2924</v>
      </c>
      <c r="K43" s="319">
        <f t="shared" si="18"/>
        <v>1200</v>
      </c>
      <c r="L43" s="319">
        <f t="shared" si="18"/>
        <v>0</v>
      </c>
      <c r="M43" s="319">
        <f t="shared" si="18"/>
        <v>250</v>
      </c>
      <c r="N43" s="319">
        <f t="shared" si="18"/>
        <v>2945.93</v>
      </c>
      <c r="O43" s="319">
        <f t="shared" si="18"/>
        <v>88.66</v>
      </c>
      <c r="P43" s="319">
        <f t="shared" si="18"/>
        <v>137.94999999999999</v>
      </c>
      <c r="Q43" s="319">
        <f t="shared" si="18"/>
        <v>0</v>
      </c>
      <c r="R43" s="319">
        <f t="shared" si="18"/>
        <v>0</v>
      </c>
      <c r="S43" s="319">
        <f>SUM(S39:S42)+0.01</f>
        <v>2850.91</v>
      </c>
      <c r="T43" s="319">
        <f t="shared" si="18"/>
        <v>219.29999999999995</v>
      </c>
      <c r="U43" s="319">
        <f t="shared" si="18"/>
        <v>0</v>
      </c>
      <c r="V43" s="319">
        <f t="shared" si="18"/>
        <v>0</v>
      </c>
      <c r="W43" s="319">
        <f t="shared" si="18"/>
        <v>5796.84</v>
      </c>
      <c r="X43" s="319">
        <f t="shared" si="18"/>
        <v>380.12</v>
      </c>
      <c r="Y43" s="319">
        <f t="shared" si="18"/>
        <v>29.239999999999995</v>
      </c>
      <c r="Z43" s="319">
        <f t="shared" si="18"/>
        <v>0</v>
      </c>
      <c r="AA43" s="319">
        <f t="shared" si="18"/>
        <v>0</v>
      </c>
      <c r="AB43" s="319">
        <f t="shared" si="18"/>
        <v>0</v>
      </c>
      <c r="AC43" s="319">
        <f t="shared" si="18"/>
        <v>0</v>
      </c>
      <c r="AD43" s="319">
        <f t="shared" si="18"/>
        <v>0</v>
      </c>
      <c r="AE43" s="319">
        <f t="shared" si="18"/>
        <v>0</v>
      </c>
      <c r="AF43" s="319">
        <f t="shared" si="18"/>
        <v>0</v>
      </c>
      <c r="AG43" s="319">
        <f t="shared" si="18"/>
        <v>0</v>
      </c>
      <c r="AH43" s="319">
        <f t="shared" si="18"/>
        <v>0</v>
      </c>
      <c r="AI43" s="319">
        <f t="shared" si="18"/>
        <v>0</v>
      </c>
      <c r="AJ43" s="319">
        <f t="shared" si="18"/>
        <v>0</v>
      </c>
    </row>
    <row r="44" spans="1:36" ht="21" customHeight="1">
      <c r="A44" s="21">
        <f>A42+1</f>
        <v>18</v>
      </c>
      <c r="B44" s="147" t="s">
        <v>761</v>
      </c>
      <c r="C44" s="142" t="s">
        <v>758</v>
      </c>
      <c r="D44" s="313" t="s">
        <v>79</v>
      </c>
      <c r="E44" s="314" t="s">
        <v>209</v>
      </c>
      <c r="F44" s="315">
        <v>800</v>
      </c>
      <c r="G44" s="316">
        <f>F44*12</f>
        <v>9600</v>
      </c>
      <c r="H44" s="316">
        <v>60</v>
      </c>
      <c r="I44" s="323"/>
      <c r="J44" s="315">
        <f>F44</f>
        <v>800</v>
      </c>
      <c r="K44" s="316">
        <v>300</v>
      </c>
      <c r="L44" s="307"/>
      <c r="M44" s="307">
        <v>125</v>
      </c>
      <c r="N44" s="307">
        <f>F44*0.0775*13</f>
        <v>806</v>
      </c>
      <c r="O44" s="307"/>
      <c r="P44" s="307">
        <f>N44/13</f>
        <v>62</v>
      </c>
      <c r="Q44" s="324"/>
      <c r="R44" s="324"/>
      <c r="S44" s="307">
        <f>F44*0.075*13</f>
        <v>780</v>
      </c>
      <c r="T44" s="307">
        <f>S44/13</f>
        <v>60</v>
      </c>
      <c r="U44" s="324"/>
      <c r="V44" s="324"/>
      <c r="W44" s="307">
        <f>N44+Q44+S44+U44</f>
        <v>1586</v>
      </c>
      <c r="X44" s="307">
        <f>F44*0.01*13</f>
        <v>104</v>
      </c>
      <c r="Y44" s="307">
        <f>X44/13</f>
        <v>8</v>
      </c>
      <c r="Z44" s="324"/>
      <c r="AA44" s="324"/>
      <c r="AB44" s="324"/>
      <c r="AC44" s="324"/>
      <c r="AD44" s="324"/>
      <c r="AE44" s="307"/>
      <c r="AF44" s="324"/>
      <c r="AG44" s="324"/>
      <c r="AH44" s="324"/>
      <c r="AI44" s="324"/>
      <c r="AJ44" s="324"/>
    </row>
    <row r="45" spans="1:36" ht="21" customHeight="1">
      <c r="A45" s="21">
        <f>A44+1</f>
        <v>19</v>
      </c>
      <c r="B45" s="148" t="s">
        <v>123</v>
      </c>
      <c r="C45" s="142" t="s">
        <v>758</v>
      </c>
      <c r="D45" s="313" t="s">
        <v>79</v>
      </c>
      <c r="E45" s="314" t="s">
        <v>47</v>
      </c>
      <c r="F45" s="315">
        <f>517+30</f>
        <v>547</v>
      </c>
      <c r="G45" s="316">
        <f>F45*12</f>
        <v>6564</v>
      </c>
      <c r="H45" s="316">
        <v>60</v>
      </c>
      <c r="I45" s="323"/>
      <c r="J45" s="316">
        <f>F45</f>
        <v>547</v>
      </c>
      <c r="K45" s="316">
        <v>300</v>
      </c>
      <c r="L45" s="324"/>
      <c r="M45" s="307">
        <v>125</v>
      </c>
      <c r="N45" s="307">
        <f>F45*0.0775*13</f>
        <v>551.10249999999996</v>
      </c>
      <c r="O45" s="307">
        <f>N45/13</f>
        <v>42.392499999999998</v>
      </c>
      <c r="P45" s="307"/>
      <c r="Q45" s="307"/>
      <c r="R45" s="307"/>
      <c r="S45" s="307">
        <f>F45*0.075*13</f>
        <v>533.32499999999993</v>
      </c>
      <c r="T45" s="307">
        <f>S45/13</f>
        <v>41.024999999999991</v>
      </c>
      <c r="U45" s="307"/>
      <c r="V45" s="307"/>
      <c r="W45" s="307">
        <f>N45+Q45+S45+U45+0.01</f>
        <v>1084.4374999999998</v>
      </c>
      <c r="X45" s="307">
        <f>F45*0.01*13</f>
        <v>71.11</v>
      </c>
      <c r="Y45" s="307">
        <f>X45/13</f>
        <v>5.47</v>
      </c>
      <c r="Z45" s="325"/>
      <c r="AA45" s="325"/>
      <c r="AB45" s="324"/>
      <c r="AC45" s="325"/>
      <c r="AD45" s="324"/>
      <c r="AE45" s="307"/>
      <c r="AF45" s="325"/>
      <c r="AG45" s="325"/>
      <c r="AH45" s="325"/>
      <c r="AI45" s="325"/>
      <c r="AJ45" s="324"/>
    </row>
    <row r="46" spans="1:36">
      <c r="A46" s="43"/>
      <c r="B46" s="413" t="s">
        <v>763</v>
      </c>
      <c r="C46" s="414"/>
      <c r="D46" s="415"/>
      <c r="E46" s="314"/>
      <c r="F46" s="319">
        <f>SUM(F44:F45)</f>
        <v>1347</v>
      </c>
      <c r="G46" s="319">
        <f t="shared" ref="G46:Y46" si="19">SUM(G44:G45)</f>
        <v>16164</v>
      </c>
      <c r="H46" s="319">
        <f t="shared" si="19"/>
        <v>120</v>
      </c>
      <c r="I46" s="319">
        <f t="shared" si="19"/>
        <v>0</v>
      </c>
      <c r="J46" s="319">
        <f t="shared" si="19"/>
        <v>1347</v>
      </c>
      <c r="K46" s="319">
        <f t="shared" si="19"/>
        <v>600</v>
      </c>
      <c r="L46" s="319">
        <f t="shared" si="19"/>
        <v>0</v>
      </c>
      <c r="M46" s="319">
        <f t="shared" si="19"/>
        <v>250</v>
      </c>
      <c r="N46" s="319">
        <f t="shared" si="19"/>
        <v>1357.1025</v>
      </c>
      <c r="O46" s="319">
        <f t="shared" si="19"/>
        <v>42.392499999999998</v>
      </c>
      <c r="P46" s="319">
        <f t="shared" si="19"/>
        <v>62</v>
      </c>
      <c r="Q46" s="319">
        <f t="shared" si="19"/>
        <v>0</v>
      </c>
      <c r="R46" s="319">
        <f t="shared" si="19"/>
        <v>0</v>
      </c>
      <c r="S46" s="319">
        <f t="shared" si="19"/>
        <v>1313.3249999999998</v>
      </c>
      <c r="T46" s="319">
        <f t="shared" si="19"/>
        <v>101.02499999999999</v>
      </c>
      <c r="U46" s="319">
        <f t="shared" si="19"/>
        <v>0</v>
      </c>
      <c r="V46" s="319">
        <f t="shared" si="19"/>
        <v>0</v>
      </c>
      <c r="W46" s="319">
        <f t="shared" si="19"/>
        <v>2670.4375</v>
      </c>
      <c r="X46" s="319">
        <f t="shared" si="19"/>
        <v>175.11</v>
      </c>
      <c r="Y46" s="319">
        <f t="shared" si="19"/>
        <v>13.469999999999999</v>
      </c>
      <c r="Z46" s="319"/>
      <c r="AA46" s="319"/>
      <c r="AB46" s="319"/>
      <c r="AC46" s="319"/>
      <c r="AD46" s="319"/>
      <c r="AE46" s="319"/>
      <c r="AF46" s="319"/>
      <c r="AG46" s="319"/>
      <c r="AH46" s="319"/>
      <c r="AI46" s="319"/>
      <c r="AJ46" s="319"/>
    </row>
    <row r="47" spans="1:36">
      <c r="A47" s="21">
        <f>A45+1</f>
        <v>20</v>
      </c>
      <c r="B47" s="165" t="s">
        <v>407</v>
      </c>
      <c r="C47" s="107" t="s">
        <v>408</v>
      </c>
      <c r="D47" s="313" t="s">
        <v>759</v>
      </c>
      <c r="E47" s="314" t="s">
        <v>47</v>
      </c>
      <c r="F47" s="315">
        <v>1000</v>
      </c>
      <c r="G47" s="316">
        <f t="shared" ref="G47:G88" si="20">F47*12</f>
        <v>12000</v>
      </c>
      <c r="H47" s="316">
        <v>60</v>
      </c>
      <c r="I47" s="323"/>
      <c r="J47" s="316">
        <f t="shared" ref="J47:J88" si="21">F47</f>
        <v>1000</v>
      </c>
      <c r="K47" s="316">
        <v>300</v>
      </c>
      <c r="L47" s="324"/>
      <c r="M47" s="307"/>
      <c r="N47" s="307">
        <f>F47*0.0775*13</f>
        <v>1007.5</v>
      </c>
      <c r="O47" s="307"/>
      <c r="P47" s="307">
        <f>N47/13</f>
        <v>77.5</v>
      </c>
      <c r="Q47" s="307"/>
      <c r="R47" s="307"/>
      <c r="S47" s="307">
        <f t="shared" ref="S47:S88" si="22">F47*0.075*13</f>
        <v>975</v>
      </c>
      <c r="T47" s="307">
        <f t="shared" ref="T47:T88" si="23">S47/13</f>
        <v>75</v>
      </c>
      <c r="U47" s="307"/>
      <c r="V47" s="307"/>
      <c r="W47" s="307">
        <f t="shared" ref="W47:W52" si="24">N47+Q47+S47+U47</f>
        <v>1982.5</v>
      </c>
      <c r="X47" s="307">
        <f t="shared" ref="X47:X88" si="25">F47*0.01*13</f>
        <v>130</v>
      </c>
      <c r="Y47" s="307">
        <f t="shared" ref="Y47:Y88" si="26">X47/13</f>
        <v>10</v>
      </c>
      <c r="Z47" s="325"/>
      <c r="AA47" s="325"/>
      <c r="AB47" s="324"/>
      <c r="AC47" s="325"/>
      <c r="AD47" s="324"/>
      <c r="AE47" s="307"/>
      <c r="AF47" s="325"/>
      <c r="AG47" s="325"/>
      <c r="AH47" s="325"/>
      <c r="AI47" s="325"/>
      <c r="AJ47" s="324"/>
    </row>
    <row r="48" spans="1:36" ht="19.5">
      <c r="A48" s="21">
        <f>A47+1</f>
        <v>21</v>
      </c>
      <c r="B48" s="147" t="s">
        <v>410</v>
      </c>
      <c r="C48" s="107" t="s">
        <v>408</v>
      </c>
      <c r="D48" s="313" t="s">
        <v>79</v>
      </c>
      <c r="E48" s="314" t="s">
        <v>47</v>
      </c>
      <c r="F48" s="315">
        <f>740+30+50</f>
        <v>820</v>
      </c>
      <c r="G48" s="316">
        <f t="shared" si="20"/>
        <v>9840</v>
      </c>
      <c r="H48" s="316">
        <v>60</v>
      </c>
      <c r="I48" s="323"/>
      <c r="J48" s="316">
        <f t="shared" si="21"/>
        <v>820</v>
      </c>
      <c r="K48" s="316">
        <v>300</v>
      </c>
      <c r="L48" s="324"/>
      <c r="M48" s="307"/>
      <c r="N48" s="307">
        <f>F48*0.0775*13</f>
        <v>826.15</v>
      </c>
      <c r="O48" s="307"/>
      <c r="P48" s="307">
        <f>N48/13</f>
        <v>63.55</v>
      </c>
      <c r="Q48" s="307"/>
      <c r="R48" s="307"/>
      <c r="S48" s="307">
        <f t="shared" si="22"/>
        <v>799.5</v>
      </c>
      <c r="T48" s="307">
        <f t="shared" si="23"/>
        <v>61.5</v>
      </c>
      <c r="U48" s="307"/>
      <c r="V48" s="307"/>
      <c r="W48" s="307">
        <f t="shared" si="24"/>
        <v>1625.65</v>
      </c>
      <c r="X48" s="307">
        <f t="shared" si="25"/>
        <v>106.6</v>
      </c>
      <c r="Y48" s="307">
        <f t="shared" si="26"/>
        <v>8.1999999999999993</v>
      </c>
      <c r="Z48" s="325"/>
      <c r="AA48" s="325"/>
      <c r="AB48" s="324"/>
      <c r="AC48" s="325"/>
      <c r="AD48" s="324"/>
      <c r="AE48" s="307"/>
      <c r="AF48" s="325"/>
      <c r="AG48" s="325"/>
      <c r="AH48" s="325"/>
      <c r="AI48" s="325"/>
      <c r="AJ48" s="324"/>
    </row>
    <row r="49" spans="1:36" ht="19.5">
      <c r="A49" s="21">
        <f>A48+1</f>
        <v>22</v>
      </c>
      <c r="B49" s="161" t="s">
        <v>162</v>
      </c>
      <c r="C49" s="107" t="s">
        <v>408</v>
      </c>
      <c r="D49" s="313" t="s">
        <v>79</v>
      </c>
      <c r="E49" s="314" t="s">
        <v>47</v>
      </c>
      <c r="F49" s="315">
        <f>567+30+50+50</f>
        <v>697</v>
      </c>
      <c r="G49" s="316">
        <f>F49*12</f>
        <v>8364</v>
      </c>
      <c r="H49" s="316">
        <v>60</v>
      </c>
      <c r="I49" s="316"/>
      <c r="J49" s="316">
        <f t="shared" si="21"/>
        <v>697</v>
      </c>
      <c r="K49" s="316">
        <v>300</v>
      </c>
      <c r="L49" s="307"/>
      <c r="M49" s="307">
        <v>125</v>
      </c>
      <c r="N49" s="307">
        <f>F49*0.0775*13</f>
        <v>702.22749999999996</v>
      </c>
      <c r="O49" s="307">
        <f>N49/13</f>
        <v>54.017499999999998</v>
      </c>
      <c r="P49" s="307"/>
      <c r="Q49" s="307"/>
      <c r="R49" s="307"/>
      <c r="S49" s="307">
        <f t="shared" si="22"/>
        <v>679.57499999999993</v>
      </c>
      <c r="T49" s="307">
        <f>S49/13</f>
        <v>52.274999999999991</v>
      </c>
      <c r="U49" s="307"/>
      <c r="V49" s="307"/>
      <c r="W49" s="307">
        <f>N49+Q49+S49+U49</f>
        <v>1381.8024999999998</v>
      </c>
      <c r="X49" s="307">
        <f t="shared" si="25"/>
        <v>90.61</v>
      </c>
      <c r="Y49" s="307">
        <f>X49/13</f>
        <v>6.97</v>
      </c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</row>
    <row r="50" spans="1:36" ht="19.5">
      <c r="A50" s="21">
        <f t="shared" ref="A50:A88" si="27">A49+1</f>
        <v>23</v>
      </c>
      <c r="B50" s="161" t="s">
        <v>693</v>
      </c>
      <c r="C50" s="107" t="s">
        <v>408</v>
      </c>
      <c r="D50" s="313" t="s">
        <v>79</v>
      </c>
      <c r="E50" s="314" t="s">
        <v>47</v>
      </c>
      <c r="F50" s="315">
        <f>605.15+30+50+50</f>
        <v>735.15</v>
      </c>
      <c r="G50" s="316">
        <f t="shared" si="20"/>
        <v>8821.7999999999993</v>
      </c>
      <c r="H50" s="316">
        <v>60</v>
      </c>
      <c r="I50" s="323"/>
      <c r="J50" s="316">
        <f t="shared" si="21"/>
        <v>735.15</v>
      </c>
      <c r="K50" s="316">
        <v>300</v>
      </c>
      <c r="L50" s="324"/>
      <c r="M50" s="307">
        <v>125</v>
      </c>
      <c r="N50" s="307">
        <f>F50*0.0775*13</f>
        <v>740.66362500000002</v>
      </c>
      <c r="O50" s="307">
        <f>N50/13</f>
        <v>56.974125000000001</v>
      </c>
      <c r="P50" s="307"/>
      <c r="Q50" s="307"/>
      <c r="R50" s="307"/>
      <c r="S50" s="307">
        <f t="shared" si="22"/>
        <v>716.77125000000001</v>
      </c>
      <c r="T50" s="307">
        <f t="shared" si="23"/>
        <v>55.136250000000004</v>
      </c>
      <c r="U50" s="307"/>
      <c r="V50" s="307"/>
      <c r="W50" s="307">
        <f t="shared" si="24"/>
        <v>1457.4348749999999</v>
      </c>
      <c r="X50" s="307">
        <f t="shared" si="25"/>
        <v>95.569499999999991</v>
      </c>
      <c r="Y50" s="307">
        <f t="shared" si="26"/>
        <v>7.3514999999999997</v>
      </c>
      <c r="Z50" s="325"/>
      <c r="AA50" s="325"/>
      <c r="AB50" s="324"/>
      <c r="AC50" s="325"/>
      <c r="AD50" s="324"/>
      <c r="AE50" s="307"/>
      <c r="AF50" s="325"/>
      <c r="AG50" s="325"/>
      <c r="AH50" s="325"/>
      <c r="AI50" s="325"/>
      <c r="AJ50" s="324"/>
    </row>
    <row r="51" spans="1:36" ht="19.5">
      <c r="A51" s="21">
        <f t="shared" si="27"/>
        <v>24</v>
      </c>
      <c r="B51" s="161" t="s">
        <v>693</v>
      </c>
      <c r="C51" s="107" t="s">
        <v>408</v>
      </c>
      <c r="D51" s="313" t="s">
        <v>79</v>
      </c>
      <c r="E51" s="314" t="s">
        <v>47</v>
      </c>
      <c r="F51" s="315">
        <f>605.15+30+50+50</f>
        <v>735.15</v>
      </c>
      <c r="G51" s="316">
        <f>F51*12</f>
        <v>8821.7999999999993</v>
      </c>
      <c r="H51" s="316">
        <v>60</v>
      </c>
      <c r="I51" s="323"/>
      <c r="J51" s="316">
        <f t="shared" si="21"/>
        <v>735.15</v>
      </c>
      <c r="K51" s="316">
        <v>300</v>
      </c>
      <c r="L51" s="324"/>
      <c r="M51" s="307">
        <v>125</v>
      </c>
      <c r="N51" s="307">
        <f>F51*0.0775*13</f>
        <v>740.66362500000002</v>
      </c>
      <c r="O51" s="321"/>
      <c r="P51" s="307">
        <f>N51/13</f>
        <v>56.974125000000001</v>
      </c>
      <c r="Q51" s="307"/>
      <c r="R51" s="307"/>
      <c r="S51" s="307">
        <f t="shared" si="22"/>
        <v>716.77125000000001</v>
      </c>
      <c r="T51" s="307">
        <f t="shared" si="23"/>
        <v>55.136250000000004</v>
      </c>
      <c r="U51" s="307"/>
      <c r="V51" s="307"/>
      <c r="W51" s="307">
        <f t="shared" si="24"/>
        <v>1457.4348749999999</v>
      </c>
      <c r="X51" s="307">
        <f t="shared" si="25"/>
        <v>95.569499999999991</v>
      </c>
      <c r="Y51" s="307">
        <f t="shared" si="26"/>
        <v>7.3514999999999997</v>
      </c>
      <c r="Z51" s="325"/>
      <c r="AA51" s="325"/>
      <c r="AB51" s="324"/>
      <c r="AC51" s="325"/>
      <c r="AD51" s="324"/>
      <c r="AE51" s="307"/>
      <c r="AF51" s="325"/>
      <c r="AG51" s="325"/>
      <c r="AH51" s="325"/>
      <c r="AI51" s="325"/>
      <c r="AJ51" s="324"/>
    </row>
    <row r="52" spans="1:36" ht="19.5">
      <c r="A52" s="21">
        <f t="shared" si="27"/>
        <v>25</v>
      </c>
      <c r="B52" s="161" t="s">
        <v>693</v>
      </c>
      <c r="C52" s="107" t="s">
        <v>408</v>
      </c>
      <c r="D52" s="313" t="s">
        <v>79</v>
      </c>
      <c r="E52" s="314" t="s">
        <v>47</v>
      </c>
      <c r="F52" s="315">
        <f>605.15+30+50+50</f>
        <v>735.15</v>
      </c>
      <c r="G52" s="316">
        <f>F52*12</f>
        <v>8821.7999999999993</v>
      </c>
      <c r="H52" s="316">
        <v>60</v>
      </c>
      <c r="I52" s="323"/>
      <c r="J52" s="316">
        <f t="shared" si="21"/>
        <v>735.15</v>
      </c>
      <c r="K52" s="316">
        <v>300</v>
      </c>
      <c r="L52" s="324"/>
      <c r="M52" s="307">
        <v>125</v>
      </c>
      <c r="N52" s="307"/>
      <c r="O52" s="307"/>
      <c r="P52" s="307"/>
      <c r="Q52" s="307"/>
      <c r="R52" s="307"/>
      <c r="S52" s="307">
        <f t="shared" si="22"/>
        <v>716.77125000000001</v>
      </c>
      <c r="T52" s="307">
        <f t="shared" si="23"/>
        <v>55.136250000000004</v>
      </c>
      <c r="U52" s="307">
        <f>F52*0.06*13</f>
        <v>573.41699999999992</v>
      </c>
      <c r="V52" s="307">
        <f>U52/12</f>
        <v>47.784749999999995</v>
      </c>
      <c r="W52" s="307">
        <f t="shared" si="24"/>
        <v>1290.1882499999999</v>
      </c>
      <c r="X52" s="307">
        <f t="shared" si="25"/>
        <v>95.569499999999991</v>
      </c>
      <c r="Y52" s="307">
        <f t="shared" si="26"/>
        <v>7.3514999999999997</v>
      </c>
      <c r="Z52" s="325"/>
      <c r="AA52" s="325"/>
      <c r="AB52" s="324"/>
      <c r="AC52" s="325"/>
      <c r="AD52" s="324"/>
      <c r="AE52" s="307"/>
      <c r="AF52" s="325"/>
      <c r="AG52" s="325"/>
      <c r="AH52" s="325"/>
      <c r="AI52" s="325"/>
      <c r="AJ52" s="324"/>
    </row>
    <row r="53" spans="1:36" ht="19.5">
      <c r="A53" s="21">
        <f t="shared" si="27"/>
        <v>26</v>
      </c>
      <c r="B53" s="161" t="s">
        <v>415</v>
      </c>
      <c r="C53" s="107" t="s">
        <v>408</v>
      </c>
      <c r="D53" s="313" t="s">
        <v>79</v>
      </c>
      <c r="E53" s="314" t="s">
        <v>47</v>
      </c>
      <c r="F53" s="315">
        <f>547+30+50+50</f>
        <v>677</v>
      </c>
      <c r="G53" s="316">
        <f t="shared" si="20"/>
        <v>8124</v>
      </c>
      <c r="H53" s="316">
        <v>60</v>
      </c>
      <c r="I53" s="323"/>
      <c r="J53" s="316">
        <f t="shared" si="21"/>
        <v>677</v>
      </c>
      <c r="K53" s="316">
        <v>300</v>
      </c>
      <c r="L53" s="324"/>
      <c r="M53" s="307">
        <v>125</v>
      </c>
      <c r="N53" s="307">
        <f>F53*0.0775*13</f>
        <v>682.07749999999999</v>
      </c>
      <c r="O53" s="321"/>
      <c r="P53" s="307">
        <f>N53/13</f>
        <v>52.467500000000001</v>
      </c>
      <c r="Q53" s="307"/>
      <c r="R53" s="307"/>
      <c r="S53" s="307">
        <f t="shared" si="22"/>
        <v>660.07499999999993</v>
      </c>
      <c r="T53" s="307">
        <f t="shared" si="23"/>
        <v>50.774999999999991</v>
      </c>
      <c r="U53" s="307"/>
      <c r="V53" s="307"/>
      <c r="W53" s="307">
        <f>N53+Q53+S53+U53</f>
        <v>1342.1524999999999</v>
      </c>
      <c r="X53" s="307">
        <f t="shared" si="25"/>
        <v>88.01</v>
      </c>
      <c r="Y53" s="307">
        <f t="shared" si="26"/>
        <v>6.7700000000000005</v>
      </c>
      <c r="Z53" s="325"/>
      <c r="AA53" s="325"/>
      <c r="AB53" s="324"/>
      <c r="AC53" s="324"/>
      <c r="AD53" s="324"/>
      <c r="AE53" s="307"/>
      <c r="AF53" s="325"/>
      <c r="AG53" s="325"/>
      <c r="AH53" s="325"/>
      <c r="AI53" s="324"/>
      <c r="AJ53" s="324"/>
    </row>
    <row r="54" spans="1:36" ht="19.5">
      <c r="A54" s="21">
        <f t="shared" si="27"/>
        <v>27</v>
      </c>
      <c r="B54" s="161" t="s">
        <v>415</v>
      </c>
      <c r="C54" s="107" t="s">
        <v>408</v>
      </c>
      <c r="D54" s="313" t="s">
        <v>79</v>
      </c>
      <c r="E54" s="314" t="s">
        <v>47</v>
      </c>
      <c r="F54" s="315">
        <v>650</v>
      </c>
      <c r="G54" s="316">
        <f>F54*12</f>
        <v>7800</v>
      </c>
      <c r="H54" s="316">
        <v>60</v>
      </c>
      <c r="I54" s="323"/>
      <c r="J54" s="316">
        <f t="shared" si="21"/>
        <v>650</v>
      </c>
      <c r="K54" s="316">
        <v>300</v>
      </c>
      <c r="L54" s="324"/>
      <c r="M54" s="307">
        <v>125</v>
      </c>
      <c r="N54" s="307">
        <f>F54*0.0775*13</f>
        <v>654.875</v>
      </c>
      <c r="O54" s="307"/>
      <c r="P54" s="307">
        <f>N54/13</f>
        <v>50.375</v>
      </c>
      <c r="Q54" s="307"/>
      <c r="R54" s="307"/>
      <c r="S54" s="307">
        <f t="shared" si="22"/>
        <v>633.75</v>
      </c>
      <c r="T54" s="307">
        <f>S54/13</f>
        <v>48.75</v>
      </c>
      <c r="U54" s="307"/>
      <c r="V54" s="307"/>
      <c r="W54" s="307">
        <f>N54+Q54+S54+U54</f>
        <v>1288.625</v>
      </c>
      <c r="X54" s="307">
        <f t="shared" si="25"/>
        <v>84.5</v>
      </c>
      <c r="Y54" s="307">
        <f>X54/13</f>
        <v>6.5</v>
      </c>
      <c r="Z54" s="325"/>
      <c r="AA54" s="325"/>
      <c r="AB54" s="324"/>
      <c r="AC54" s="324"/>
      <c r="AD54" s="324"/>
      <c r="AE54" s="307"/>
      <c r="AF54" s="325"/>
      <c r="AG54" s="325"/>
      <c r="AH54" s="325"/>
      <c r="AI54" s="324"/>
      <c r="AJ54" s="324"/>
    </row>
    <row r="55" spans="1:36">
      <c r="A55" s="21">
        <f t="shared" si="27"/>
        <v>28</v>
      </c>
      <c r="B55" s="328" t="s">
        <v>415</v>
      </c>
      <c r="C55" s="107" t="s">
        <v>408</v>
      </c>
      <c r="D55" s="313" t="s">
        <v>759</v>
      </c>
      <c r="E55" s="314" t="s">
        <v>47</v>
      </c>
      <c r="F55" s="315">
        <v>650</v>
      </c>
      <c r="G55" s="316">
        <f>F55*12</f>
        <v>7800</v>
      </c>
      <c r="H55" s="316">
        <v>60</v>
      </c>
      <c r="I55" s="323"/>
      <c r="J55" s="316">
        <f t="shared" si="21"/>
        <v>650</v>
      </c>
      <c r="K55" s="316">
        <v>300</v>
      </c>
      <c r="L55" s="324"/>
      <c r="M55" s="307"/>
      <c r="N55" s="307">
        <f>F55*0.0775*13</f>
        <v>654.875</v>
      </c>
      <c r="O55" s="321"/>
      <c r="P55" s="307">
        <f>N55/13</f>
        <v>50.375</v>
      </c>
      <c r="Q55" s="307"/>
      <c r="R55" s="307"/>
      <c r="S55" s="307">
        <f t="shared" si="22"/>
        <v>633.75</v>
      </c>
      <c r="T55" s="307">
        <f>S55/13</f>
        <v>48.75</v>
      </c>
      <c r="U55" s="307"/>
      <c r="V55" s="307"/>
      <c r="W55" s="307">
        <f>N55+Q55+S55+U55</f>
        <v>1288.625</v>
      </c>
      <c r="X55" s="307">
        <f t="shared" si="25"/>
        <v>84.5</v>
      </c>
      <c r="Y55" s="307">
        <f>X55/13</f>
        <v>6.5</v>
      </c>
      <c r="Z55" s="325"/>
      <c r="AA55" s="325"/>
      <c r="AB55" s="324"/>
      <c r="AC55" s="324"/>
      <c r="AD55" s="324"/>
      <c r="AE55" s="307"/>
      <c r="AF55" s="325"/>
      <c r="AG55" s="325"/>
      <c r="AH55" s="325"/>
      <c r="AI55" s="324"/>
      <c r="AJ55" s="324"/>
    </row>
    <row r="56" spans="1:36">
      <c r="A56" s="21">
        <f>A55+1</f>
        <v>29</v>
      </c>
      <c r="B56" s="158" t="s">
        <v>415</v>
      </c>
      <c r="C56" s="107" t="s">
        <v>408</v>
      </c>
      <c r="D56" s="313" t="s">
        <v>762</v>
      </c>
      <c r="E56" s="314" t="s">
        <v>47</v>
      </c>
      <c r="F56" s="315">
        <v>600</v>
      </c>
      <c r="G56" s="316">
        <f t="shared" ref="G56" si="28">F56*12</f>
        <v>7200</v>
      </c>
      <c r="H56" s="316">
        <v>60</v>
      </c>
      <c r="I56" s="323"/>
      <c r="J56" s="316">
        <f t="shared" ref="J56" si="29">F56</f>
        <v>600</v>
      </c>
      <c r="K56" s="316">
        <v>300</v>
      </c>
      <c r="L56" s="324"/>
      <c r="M56" s="307"/>
      <c r="N56" s="307">
        <f t="shared" ref="N56" si="30">F56*0.0775*13</f>
        <v>604.5</v>
      </c>
      <c r="O56" s="307">
        <f t="shared" ref="O56" si="31">N56/13</f>
        <v>46.5</v>
      </c>
      <c r="P56" s="307"/>
      <c r="Q56" s="307"/>
      <c r="R56" s="307"/>
      <c r="S56" s="307">
        <f t="shared" ref="S56" si="32">F56*0.075*13</f>
        <v>585</v>
      </c>
      <c r="T56" s="307">
        <f t="shared" ref="T56" si="33">S56/13</f>
        <v>45</v>
      </c>
      <c r="U56" s="307"/>
      <c r="V56" s="307"/>
      <c r="W56" s="307">
        <f t="shared" ref="W56" si="34">N56+Q56+S56+U56+0.01</f>
        <v>1189.51</v>
      </c>
      <c r="X56" s="307">
        <f t="shared" ref="X56" si="35">F56*0.01*13</f>
        <v>78</v>
      </c>
      <c r="Y56" s="307">
        <f t="shared" ref="Y56" si="36">X56/13</f>
        <v>6</v>
      </c>
      <c r="Z56" s="325"/>
      <c r="AA56" s="325"/>
      <c r="AB56" s="324"/>
      <c r="AC56" s="324"/>
      <c r="AD56" s="324"/>
      <c r="AE56" s="307"/>
      <c r="AF56" s="325"/>
      <c r="AG56" s="325"/>
      <c r="AH56" s="325"/>
      <c r="AI56" s="324"/>
      <c r="AJ56" s="324"/>
    </row>
    <row r="57" spans="1:36" ht="19.5">
      <c r="A57" s="21">
        <f>A56+1</f>
        <v>30</v>
      </c>
      <c r="B57" s="161" t="s">
        <v>419</v>
      </c>
      <c r="C57" s="107" t="s">
        <v>408</v>
      </c>
      <c r="D57" s="313" t="s">
        <v>79</v>
      </c>
      <c r="E57" s="314" t="s">
        <v>47</v>
      </c>
      <c r="F57" s="315">
        <f t="shared" ref="F57:F68" si="37">467+30+50+50</f>
        <v>597</v>
      </c>
      <c r="G57" s="316">
        <f t="shared" si="20"/>
        <v>7164</v>
      </c>
      <c r="H57" s="316">
        <v>60</v>
      </c>
      <c r="I57" s="323"/>
      <c r="J57" s="316">
        <f t="shared" si="21"/>
        <v>597</v>
      </c>
      <c r="K57" s="316">
        <v>300</v>
      </c>
      <c r="L57" s="324"/>
      <c r="M57" s="307">
        <v>125</v>
      </c>
      <c r="N57" s="307">
        <f>F57*0.0775*13</f>
        <v>601.47749999999996</v>
      </c>
      <c r="O57" s="307">
        <f>N57/13</f>
        <v>46.267499999999998</v>
      </c>
      <c r="P57" s="307"/>
      <c r="Q57" s="307"/>
      <c r="R57" s="307"/>
      <c r="S57" s="307">
        <f t="shared" si="22"/>
        <v>582.07499999999993</v>
      </c>
      <c r="T57" s="307">
        <f t="shared" si="23"/>
        <v>44.774999999999991</v>
      </c>
      <c r="U57" s="307"/>
      <c r="V57" s="307"/>
      <c r="W57" s="307">
        <f t="shared" ref="W57:W58" si="38">N57+Q57+S57+U57</f>
        <v>1183.5524999999998</v>
      </c>
      <c r="X57" s="307">
        <f t="shared" si="25"/>
        <v>77.61</v>
      </c>
      <c r="Y57" s="307">
        <f t="shared" si="26"/>
        <v>5.97</v>
      </c>
      <c r="Z57" s="324"/>
      <c r="AA57" s="324"/>
      <c r="AB57" s="324"/>
      <c r="AC57" s="324"/>
      <c r="AD57" s="324"/>
      <c r="AE57" s="307"/>
      <c r="AF57" s="324"/>
      <c r="AG57" s="324"/>
      <c r="AH57" s="329"/>
      <c r="AI57" s="329"/>
      <c r="AJ57" s="329"/>
    </row>
    <row r="58" spans="1:36" ht="19.5">
      <c r="A58" s="21">
        <f t="shared" si="27"/>
        <v>31</v>
      </c>
      <c r="B58" s="161" t="s">
        <v>419</v>
      </c>
      <c r="C58" s="107" t="s">
        <v>408</v>
      </c>
      <c r="D58" s="313" t="s">
        <v>79</v>
      </c>
      <c r="E58" s="314" t="s">
        <v>47</v>
      </c>
      <c r="F58" s="315">
        <f t="shared" si="37"/>
        <v>597</v>
      </c>
      <c r="G58" s="316">
        <f t="shared" si="20"/>
        <v>7164</v>
      </c>
      <c r="H58" s="316">
        <v>60</v>
      </c>
      <c r="I58" s="323"/>
      <c r="J58" s="316">
        <f t="shared" si="21"/>
        <v>597</v>
      </c>
      <c r="K58" s="316">
        <v>300</v>
      </c>
      <c r="L58" s="324"/>
      <c r="M58" s="307"/>
      <c r="N58" s="307">
        <f>F58*0.0775*13</f>
        <v>601.47749999999996</v>
      </c>
      <c r="O58" s="321"/>
      <c r="P58" s="307">
        <f>N58/13</f>
        <v>46.267499999999998</v>
      </c>
      <c r="Q58" s="307"/>
      <c r="R58" s="307"/>
      <c r="S58" s="307">
        <f t="shared" si="22"/>
        <v>582.07499999999993</v>
      </c>
      <c r="T58" s="307">
        <f t="shared" si="23"/>
        <v>44.774999999999991</v>
      </c>
      <c r="U58" s="307"/>
      <c r="V58" s="307"/>
      <c r="W58" s="307">
        <f t="shared" si="38"/>
        <v>1183.5524999999998</v>
      </c>
      <c r="X58" s="307">
        <f t="shared" si="25"/>
        <v>77.61</v>
      </c>
      <c r="Y58" s="307">
        <f t="shared" si="26"/>
        <v>5.97</v>
      </c>
      <c r="Z58" s="325"/>
      <c r="AA58" s="325"/>
      <c r="AB58" s="324"/>
      <c r="AC58" s="324"/>
      <c r="AD58" s="324"/>
      <c r="AE58" s="307"/>
      <c r="AF58" s="325"/>
      <c r="AG58" s="325"/>
      <c r="AH58" s="325"/>
      <c r="AI58" s="324"/>
      <c r="AJ58" s="324"/>
    </row>
    <row r="59" spans="1:36" ht="19.5">
      <c r="A59" s="21">
        <f t="shared" si="27"/>
        <v>32</v>
      </c>
      <c r="B59" s="161" t="s">
        <v>419</v>
      </c>
      <c r="C59" s="107" t="s">
        <v>408</v>
      </c>
      <c r="D59" s="313" t="s">
        <v>79</v>
      </c>
      <c r="E59" s="314" t="s">
        <v>47</v>
      </c>
      <c r="F59" s="315">
        <f t="shared" si="37"/>
        <v>597</v>
      </c>
      <c r="G59" s="316">
        <f t="shared" si="20"/>
        <v>7164</v>
      </c>
      <c r="H59" s="316">
        <v>60</v>
      </c>
      <c r="I59" s="323"/>
      <c r="J59" s="316">
        <f t="shared" si="21"/>
        <v>597</v>
      </c>
      <c r="K59" s="316">
        <v>300</v>
      </c>
      <c r="L59" s="324"/>
      <c r="M59" s="307"/>
      <c r="N59" s="307"/>
      <c r="O59" s="307"/>
      <c r="P59" s="307"/>
      <c r="Q59" s="307"/>
      <c r="R59" s="307"/>
      <c r="S59" s="307">
        <f t="shared" si="22"/>
        <v>582.07499999999993</v>
      </c>
      <c r="T59" s="307">
        <f t="shared" si="23"/>
        <v>44.774999999999991</v>
      </c>
      <c r="U59" s="307">
        <f>F59*0.06*13</f>
        <v>465.66</v>
      </c>
      <c r="V59" s="307">
        <f>U59/12</f>
        <v>38.805</v>
      </c>
      <c r="W59" s="307">
        <f>N59+Q59+S59+U59</f>
        <v>1047.7349999999999</v>
      </c>
      <c r="X59" s="307">
        <f t="shared" si="25"/>
        <v>77.61</v>
      </c>
      <c r="Y59" s="307">
        <f t="shared" si="26"/>
        <v>5.97</v>
      </c>
      <c r="Z59" s="325"/>
      <c r="AA59" s="325"/>
      <c r="AB59" s="324"/>
      <c r="AC59" s="324"/>
      <c r="AD59" s="324"/>
      <c r="AE59" s="307"/>
      <c r="AF59" s="325"/>
      <c r="AG59" s="325"/>
      <c r="AH59" s="325"/>
      <c r="AI59" s="324"/>
      <c r="AJ59" s="324"/>
    </row>
    <row r="60" spans="1:36" ht="19.5">
      <c r="A60" s="21">
        <f t="shared" si="27"/>
        <v>33</v>
      </c>
      <c r="B60" s="161" t="s">
        <v>419</v>
      </c>
      <c r="C60" s="107" t="s">
        <v>408</v>
      </c>
      <c r="D60" s="313" t="s">
        <v>79</v>
      </c>
      <c r="E60" s="314" t="s">
        <v>47</v>
      </c>
      <c r="F60" s="315">
        <f t="shared" si="37"/>
        <v>597</v>
      </c>
      <c r="G60" s="316">
        <f t="shared" si="20"/>
        <v>7164</v>
      </c>
      <c r="H60" s="316">
        <v>60</v>
      </c>
      <c r="I60" s="323"/>
      <c r="J60" s="316">
        <f t="shared" si="21"/>
        <v>597</v>
      </c>
      <c r="K60" s="316">
        <v>300</v>
      </c>
      <c r="L60" s="324"/>
      <c r="M60" s="307">
        <v>125</v>
      </c>
      <c r="N60" s="307">
        <f>F60*0.0775*13</f>
        <v>601.47749999999996</v>
      </c>
      <c r="O60" s="307">
        <f>N60/13</f>
        <v>46.267499999999998</v>
      </c>
      <c r="P60" s="307"/>
      <c r="Q60" s="307"/>
      <c r="R60" s="307"/>
      <c r="S60" s="307">
        <f t="shared" si="22"/>
        <v>582.07499999999993</v>
      </c>
      <c r="T60" s="307">
        <f t="shared" si="23"/>
        <v>44.774999999999991</v>
      </c>
      <c r="U60" s="307"/>
      <c r="V60" s="307"/>
      <c r="W60" s="307">
        <f>N60+Q60+S60+U60</f>
        <v>1183.5524999999998</v>
      </c>
      <c r="X60" s="307">
        <f t="shared" si="25"/>
        <v>77.61</v>
      </c>
      <c r="Y60" s="307">
        <f t="shared" si="26"/>
        <v>5.97</v>
      </c>
      <c r="Z60" s="325"/>
      <c r="AA60" s="324"/>
      <c r="AB60" s="324"/>
      <c r="AC60" s="324"/>
      <c r="AD60" s="324"/>
      <c r="AE60" s="307"/>
      <c r="AF60" s="325"/>
      <c r="AG60" s="325"/>
      <c r="AH60" s="325"/>
      <c r="AI60" s="324"/>
      <c r="AJ60" s="324"/>
    </row>
    <row r="61" spans="1:36" ht="19.5">
      <c r="A61" s="21">
        <f t="shared" si="27"/>
        <v>34</v>
      </c>
      <c r="B61" s="161" t="s">
        <v>419</v>
      </c>
      <c r="C61" s="107" t="s">
        <v>408</v>
      </c>
      <c r="D61" s="313" t="s">
        <v>79</v>
      </c>
      <c r="E61" s="314" t="s">
        <v>47</v>
      </c>
      <c r="F61" s="315">
        <f t="shared" si="37"/>
        <v>597</v>
      </c>
      <c r="G61" s="316">
        <f t="shared" si="20"/>
        <v>7164</v>
      </c>
      <c r="H61" s="316">
        <v>60</v>
      </c>
      <c r="I61" s="323"/>
      <c r="J61" s="316">
        <f t="shared" si="21"/>
        <v>597</v>
      </c>
      <c r="K61" s="316">
        <v>300</v>
      </c>
      <c r="L61" s="324"/>
      <c r="M61" s="307">
        <v>125</v>
      </c>
      <c r="N61" s="307">
        <f>F61*0.0775*13</f>
        <v>601.47749999999996</v>
      </c>
      <c r="O61" s="307">
        <f>N61/13</f>
        <v>46.267499999999998</v>
      </c>
      <c r="P61" s="307"/>
      <c r="Q61" s="307"/>
      <c r="R61" s="307"/>
      <c r="S61" s="307">
        <f t="shared" si="22"/>
        <v>582.07499999999993</v>
      </c>
      <c r="T61" s="307">
        <f t="shared" si="23"/>
        <v>44.774999999999991</v>
      </c>
      <c r="U61" s="307"/>
      <c r="V61" s="307"/>
      <c r="W61" s="307">
        <f t="shared" ref="W61:W64" si="39">N61+Q61+S61+U61</f>
        <v>1183.5524999999998</v>
      </c>
      <c r="X61" s="307">
        <f t="shared" si="25"/>
        <v>77.61</v>
      </c>
      <c r="Y61" s="307">
        <f t="shared" si="26"/>
        <v>5.97</v>
      </c>
      <c r="Z61" s="325"/>
      <c r="AA61" s="325"/>
      <c r="AB61" s="324"/>
      <c r="AC61" s="324"/>
      <c r="AD61" s="324"/>
      <c r="AE61" s="307"/>
      <c r="AF61" s="325"/>
      <c r="AG61" s="325"/>
      <c r="AH61" s="325"/>
      <c r="AI61" s="324"/>
      <c r="AJ61" s="324"/>
    </row>
    <row r="62" spans="1:36" ht="19.5">
      <c r="A62" s="21">
        <f t="shared" si="27"/>
        <v>35</v>
      </c>
      <c r="B62" s="161" t="s">
        <v>419</v>
      </c>
      <c r="C62" s="107" t="s">
        <v>408</v>
      </c>
      <c r="D62" s="313" t="s">
        <v>79</v>
      </c>
      <c r="E62" s="314" t="s">
        <v>47</v>
      </c>
      <c r="F62" s="315">
        <f t="shared" si="37"/>
        <v>597</v>
      </c>
      <c r="G62" s="316">
        <f t="shared" si="20"/>
        <v>7164</v>
      </c>
      <c r="H62" s="316">
        <v>60</v>
      </c>
      <c r="I62" s="323"/>
      <c r="J62" s="316">
        <f t="shared" si="21"/>
        <v>597</v>
      </c>
      <c r="K62" s="316">
        <v>300</v>
      </c>
      <c r="L62" s="324"/>
      <c r="M62" s="307">
        <v>125</v>
      </c>
      <c r="N62" s="307">
        <f>F62*0.0775*13</f>
        <v>601.47749999999996</v>
      </c>
      <c r="O62" s="307">
        <f>N62/13</f>
        <v>46.267499999999998</v>
      </c>
      <c r="P62" s="307"/>
      <c r="Q62" s="307"/>
      <c r="R62" s="307"/>
      <c r="S62" s="307">
        <f t="shared" si="22"/>
        <v>582.07499999999993</v>
      </c>
      <c r="T62" s="307">
        <f t="shared" si="23"/>
        <v>44.774999999999991</v>
      </c>
      <c r="U62" s="307"/>
      <c r="V62" s="307"/>
      <c r="W62" s="307">
        <f t="shared" si="39"/>
        <v>1183.5524999999998</v>
      </c>
      <c r="X62" s="307">
        <f t="shared" si="25"/>
        <v>77.61</v>
      </c>
      <c r="Y62" s="307">
        <f t="shared" si="26"/>
        <v>5.97</v>
      </c>
      <c r="Z62" s="325"/>
      <c r="AA62" s="325"/>
      <c r="AB62" s="324"/>
      <c r="AC62" s="324"/>
      <c r="AD62" s="324"/>
      <c r="AE62" s="307"/>
      <c r="AF62" s="325"/>
      <c r="AG62" s="325"/>
      <c r="AH62" s="325"/>
      <c r="AI62" s="324"/>
      <c r="AJ62" s="324"/>
    </row>
    <row r="63" spans="1:36" ht="19.5">
      <c r="A63" s="21">
        <f t="shared" si="27"/>
        <v>36</v>
      </c>
      <c r="B63" s="161" t="s">
        <v>419</v>
      </c>
      <c r="C63" s="107" t="s">
        <v>408</v>
      </c>
      <c r="D63" s="313" t="s">
        <v>79</v>
      </c>
      <c r="E63" s="314" t="s">
        <v>47</v>
      </c>
      <c r="F63" s="315">
        <f t="shared" si="37"/>
        <v>597</v>
      </c>
      <c r="G63" s="316">
        <f t="shared" si="20"/>
        <v>7164</v>
      </c>
      <c r="H63" s="316">
        <v>60</v>
      </c>
      <c r="I63" s="323"/>
      <c r="J63" s="316">
        <f t="shared" si="21"/>
        <v>597</v>
      </c>
      <c r="K63" s="316">
        <v>300</v>
      </c>
      <c r="L63" s="324"/>
      <c r="M63" s="307">
        <v>125</v>
      </c>
      <c r="N63" s="307">
        <f>F63*0.0775*13</f>
        <v>601.47749999999996</v>
      </c>
      <c r="O63" s="307">
        <f>N63/13</f>
        <v>46.267499999999998</v>
      </c>
      <c r="P63" s="307"/>
      <c r="Q63" s="307"/>
      <c r="R63" s="307"/>
      <c r="S63" s="307">
        <f t="shared" si="22"/>
        <v>582.07499999999993</v>
      </c>
      <c r="T63" s="307">
        <f t="shared" si="23"/>
        <v>44.774999999999991</v>
      </c>
      <c r="U63" s="307"/>
      <c r="V63" s="307"/>
      <c r="W63" s="307">
        <f t="shared" si="39"/>
        <v>1183.5524999999998</v>
      </c>
      <c r="X63" s="307">
        <f t="shared" si="25"/>
        <v>77.61</v>
      </c>
      <c r="Y63" s="307">
        <f t="shared" si="26"/>
        <v>5.97</v>
      </c>
      <c r="Z63" s="325"/>
      <c r="AA63" s="325"/>
      <c r="AB63" s="324"/>
      <c r="AC63" s="324"/>
      <c r="AD63" s="324"/>
      <c r="AE63" s="307"/>
      <c r="AF63" s="325"/>
      <c r="AG63" s="325"/>
      <c r="AH63" s="325"/>
      <c r="AI63" s="324"/>
      <c r="AJ63" s="324"/>
    </row>
    <row r="64" spans="1:36" ht="19.5">
      <c r="A64" s="21">
        <f t="shared" si="27"/>
        <v>37</v>
      </c>
      <c r="B64" s="161" t="s">
        <v>419</v>
      </c>
      <c r="C64" s="107" t="s">
        <v>408</v>
      </c>
      <c r="D64" s="313" t="s">
        <v>79</v>
      </c>
      <c r="E64" s="314" t="s">
        <v>47</v>
      </c>
      <c r="F64" s="315">
        <f t="shared" si="37"/>
        <v>597</v>
      </c>
      <c r="G64" s="316">
        <f t="shared" si="20"/>
        <v>7164</v>
      </c>
      <c r="H64" s="316">
        <v>60</v>
      </c>
      <c r="I64" s="323"/>
      <c r="J64" s="316">
        <f t="shared" si="21"/>
        <v>597</v>
      </c>
      <c r="K64" s="316">
        <v>300</v>
      </c>
      <c r="L64" s="324"/>
      <c r="M64" s="307">
        <v>125</v>
      </c>
      <c r="N64" s="307">
        <f>F64*0.0775*13</f>
        <v>601.47749999999996</v>
      </c>
      <c r="O64" s="321"/>
      <c r="P64" s="307">
        <f>N64/13</f>
        <v>46.267499999999998</v>
      </c>
      <c r="Q64" s="307"/>
      <c r="R64" s="307"/>
      <c r="S64" s="307">
        <f t="shared" si="22"/>
        <v>582.07499999999993</v>
      </c>
      <c r="T64" s="307">
        <f t="shared" si="23"/>
        <v>44.774999999999991</v>
      </c>
      <c r="U64" s="307"/>
      <c r="V64" s="307"/>
      <c r="W64" s="307">
        <f t="shared" si="39"/>
        <v>1183.5524999999998</v>
      </c>
      <c r="X64" s="307">
        <f t="shared" si="25"/>
        <v>77.61</v>
      </c>
      <c r="Y64" s="307">
        <f t="shared" si="26"/>
        <v>5.97</v>
      </c>
      <c r="Z64" s="325"/>
      <c r="AA64" s="325"/>
      <c r="AB64" s="324"/>
      <c r="AC64" s="324"/>
      <c r="AD64" s="324"/>
      <c r="AE64" s="307"/>
      <c r="AF64" s="325"/>
      <c r="AG64" s="325"/>
      <c r="AH64" s="325"/>
      <c r="AI64" s="324"/>
      <c r="AJ64" s="324"/>
    </row>
    <row r="65" spans="1:36" ht="19.5">
      <c r="A65" s="21">
        <f t="shared" si="27"/>
        <v>38</v>
      </c>
      <c r="B65" s="161" t="s">
        <v>419</v>
      </c>
      <c r="C65" s="107" t="s">
        <v>408</v>
      </c>
      <c r="D65" s="313" t="s">
        <v>79</v>
      </c>
      <c r="E65" s="314" t="s">
        <v>47</v>
      </c>
      <c r="F65" s="315">
        <f t="shared" si="37"/>
        <v>597</v>
      </c>
      <c r="G65" s="316">
        <f t="shared" si="20"/>
        <v>7164</v>
      </c>
      <c r="H65" s="316">
        <v>60</v>
      </c>
      <c r="I65" s="323"/>
      <c r="J65" s="316">
        <f t="shared" si="21"/>
        <v>597</v>
      </c>
      <c r="K65" s="316">
        <v>300</v>
      </c>
      <c r="L65" s="324"/>
      <c r="M65" s="307">
        <v>125</v>
      </c>
      <c r="N65" s="307"/>
      <c r="O65" s="307"/>
      <c r="P65" s="307"/>
      <c r="Q65" s="307"/>
      <c r="R65" s="307"/>
      <c r="S65" s="307">
        <f t="shared" si="22"/>
        <v>582.07499999999993</v>
      </c>
      <c r="T65" s="307">
        <f t="shared" si="23"/>
        <v>44.774999999999991</v>
      </c>
      <c r="U65" s="307">
        <f>F65*0.06*13</f>
        <v>465.66</v>
      </c>
      <c r="V65" s="307">
        <f>U65/12</f>
        <v>38.805</v>
      </c>
      <c r="W65" s="307">
        <f>N65+Q65+S65+U65</f>
        <v>1047.7349999999999</v>
      </c>
      <c r="X65" s="307">
        <f t="shared" si="25"/>
        <v>77.61</v>
      </c>
      <c r="Y65" s="307">
        <f t="shared" si="26"/>
        <v>5.97</v>
      </c>
      <c r="Z65" s="325"/>
      <c r="AA65" s="325"/>
      <c r="AB65" s="324"/>
      <c r="AC65" s="324"/>
      <c r="AD65" s="324"/>
      <c r="AE65" s="307"/>
      <c r="AF65" s="325"/>
      <c r="AG65" s="325"/>
      <c r="AH65" s="325"/>
      <c r="AI65" s="324"/>
      <c r="AJ65" s="324"/>
    </row>
    <row r="66" spans="1:36" ht="19.5">
      <c r="A66" s="21">
        <f t="shared" si="27"/>
        <v>39</v>
      </c>
      <c r="B66" s="161" t="s">
        <v>419</v>
      </c>
      <c r="C66" s="107" t="s">
        <v>408</v>
      </c>
      <c r="D66" s="313" t="s">
        <v>79</v>
      </c>
      <c r="E66" s="314" t="s">
        <v>47</v>
      </c>
      <c r="F66" s="315">
        <f t="shared" si="37"/>
        <v>597</v>
      </c>
      <c r="G66" s="316">
        <f t="shared" si="20"/>
        <v>7164</v>
      </c>
      <c r="H66" s="316">
        <v>60</v>
      </c>
      <c r="I66" s="323"/>
      <c r="J66" s="316">
        <f t="shared" si="21"/>
        <v>597</v>
      </c>
      <c r="K66" s="316">
        <v>300</v>
      </c>
      <c r="L66" s="324"/>
      <c r="M66" s="307">
        <v>125</v>
      </c>
      <c r="N66" s="307"/>
      <c r="O66" s="307"/>
      <c r="P66" s="307"/>
      <c r="Q66" s="307"/>
      <c r="R66" s="307"/>
      <c r="S66" s="307">
        <f t="shared" si="22"/>
        <v>582.07499999999993</v>
      </c>
      <c r="T66" s="307">
        <f t="shared" si="23"/>
        <v>44.774999999999991</v>
      </c>
      <c r="U66" s="307">
        <f>F66*0.06*13</f>
        <v>465.66</v>
      </c>
      <c r="V66" s="307">
        <f>U66/12</f>
        <v>38.805</v>
      </c>
      <c r="W66" s="307">
        <f>N66+Q66+S66+U66</f>
        <v>1047.7349999999999</v>
      </c>
      <c r="X66" s="307">
        <f t="shared" si="25"/>
        <v>77.61</v>
      </c>
      <c r="Y66" s="307">
        <f t="shared" si="26"/>
        <v>5.97</v>
      </c>
      <c r="Z66" s="325"/>
      <c r="AA66" s="325"/>
      <c r="AB66" s="324"/>
      <c r="AC66" s="324"/>
      <c r="AD66" s="324"/>
      <c r="AE66" s="307"/>
      <c r="AF66" s="325"/>
      <c r="AG66" s="325"/>
      <c r="AH66" s="325"/>
      <c r="AI66" s="324"/>
      <c r="AJ66" s="324"/>
    </row>
    <row r="67" spans="1:36" ht="19.5">
      <c r="A67" s="21">
        <f t="shared" si="27"/>
        <v>40</v>
      </c>
      <c r="B67" s="161" t="s">
        <v>419</v>
      </c>
      <c r="C67" s="107" t="s">
        <v>408</v>
      </c>
      <c r="D67" s="313" t="s">
        <v>79</v>
      </c>
      <c r="E67" s="314" t="s">
        <v>47</v>
      </c>
      <c r="F67" s="315">
        <f t="shared" si="37"/>
        <v>597</v>
      </c>
      <c r="G67" s="316">
        <f t="shared" si="20"/>
        <v>7164</v>
      </c>
      <c r="H67" s="316">
        <v>60</v>
      </c>
      <c r="I67" s="323"/>
      <c r="J67" s="316">
        <f t="shared" si="21"/>
        <v>597</v>
      </c>
      <c r="K67" s="316">
        <v>300</v>
      </c>
      <c r="L67" s="324"/>
      <c r="M67" s="307">
        <v>125</v>
      </c>
      <c r="N67" s="307"/>
      <c r="O67" s="307"/>
      <c r="P67" s="307"/>
      <c r="Q67" s="307"/>
      <c r="R67" s="307"/>
      <c r="S67" s="307">
        <f t="shared" si="22"/>
        <v>582.07499999999993</v>
      </c>
      <c r="T67" s="307">
        <f t="shared" si="23"/>
        <v>44.774999999999991</v>
      </c>
      <c r="U67" s="307">
        <f>F67*0.06*13</f>
        <v>465.66</v>
      </c>
      <c r="V67" s="307">
        <f>U67/12</f>
        <v>38.805</v>
      </c>
      <c r="W67" s="307">
        <f>N67+Q67+S67+U67</f>
        <v>1047.7349999999999</v>
      </c>
      <c r="X67" s="307">
        <f t="shared" si="25"/>
        <v>77.61</v>
      </c>
      <c r="Y67" s="307">
        <f t="shared" si="26"/>
        <v>5.97</v>
      </c>
      <c r="Z67" s="325"/>
      <c r="AA67" s="325"/>
      <c r="AB67" s="324"/>
      <c r="AC67" s="324"/>
      <c r="AD67" s="324"/>
      <c r="AE67" s="307"/>
      <c r="AF67" s="325"/>
      <c r="AG67" s="325"/>
      <c r="AH67" s="325"/>
      <c r="AI67" s="324"/>
      <c r="AJ67" s="324"/>
    </row>
    <row r="68" spans="1:36" ht="19.5">
      <c r="A68" s="21">
        <f t="shared" si="27"/>
        <v>41</v>
      </c>
      <c r="B68" s="161" t="s">
        <v>419</v>
      </c>
      <c r="C68" s="107" t="s">
        <v>408</v>
      </c>
      <c r="D68" s="313" t="s">
        <v>79</v>
      </c>
      <c r="E68" s="314" t="s">
        <v>47</v>
      </c>
      <c r="F68" s="315">
        <f t="shared" si="37"/>
        <v>597</v>
      </c>
      <c r="G68" s="316">
        <f t="shared" si="20"/>
        <v>7164</v>
      </c>
      <c r="H68" s="316">
        <v>60</v>
      </c>
      <c r="I68" s="323"/>
      <c r="J68" s="316">
        <f t="shared" si="21"/>
        <v>597</v>
      </c>
      <c r="K68" s="316">
        <v>300</v>
      </c>
      <c r="L68" s="324"/>
      <c r="M68" s="307">
        <v>125</v>
      </c>
      <c r="N68" s="307">
        <f>F68*0.0775*13</f>
        <v>601.47749999999996</v>
      </c>
      <c r="O68" s="321"/>
      <c r="P68" s="307">
        <f>N68/13</f>
        <v>46.267499999999998</v>
      </c>
      <c r="Q68" s="307"/>
      <c r="R68" s="307"/>
      <c r="S68" s="307">
        <f t="shared" si="22"/>
        <v>582.07499999999993</v>
      </c>
      <c r="T68" s="307">
        <f t="shared" si="23"/>
        <v>44.774999999999991</v>
      </c>
      <c r="U68" s="307"/>
      <c r="V68" s="307"/>
      <c r="W68" s="307">
        <f>N68+Q68+S68+U68</f>
        <v>1183.5524999999998</v>
      </c>
      <c r="X68" s="307">
        <f t="shared" si="25"/>
        <v>77.61</v>
      </c>
      <c r="Y68" s="307">
        <f t="shared" si="26"/>
        <v>5.97</v>
      </c>
      <c r="Z68" s="325"/>
      <c r="AA68" s="325"/>
      <c r="AB68" s="324"/>
      <c r="AC68" s="324"/>
      <c r="AD68" s="324"/>
      <c r="AE68" s="307"/>
      <c r="AF68" s="325"/>
      <c r="AG68" s="325"/>
      <c r="AH68" s="325"/>
      <c r="AI68" s="324"/>
      <c r="AJ68" s="324"/>
    </row>
    <row r="69" spans="1:36" ht="19.5">
      <c r="A69" s="21">
        <f t="shared" si="27"/>
        <v>42</v>
      </c>
      <c r="B69" s="161" t="s">
        <v>421</v>
      </c>
      <c r="C69" s="107" t="s">
        <v>408</v>
      </c>
      <c r="D69" s="313" t="s">
        <v>79</v>
      </c>
      <c r="E69" s="314" t="s">
        <v>47</v>
      </c>
      <c r="F69" s="315">
        <f>417+30+50+50</f>
        <v>547</v>
      </c>
      <c r="G69" s="316">
        <f t="shared" si="20"/>
        <v>6564</v>
      </c>
      <c r="H69" s="316">
        <v>60</v>
      </c>
      <c r="I69" s="323"/>
      <c r="J69" s="316">
        <f t="shared" si="21"/>
        <v>547</v>
      </c>
      <c r="K69" s="316">
        <v>300</v>
      </c>
      <c r="L69" s="324"/>
      <c r="M69" s="307">
        <v>125</v>
      </c>
      <c r="N69" s="307">
        <f>F69*0.0775*13</f>
        <v>551.10249999999996</v>
      </c>
      <c r="O69" s="307">
        <f>N69/13</f>
        <v>42.392499999999998</v>
      </c>
      <c r="P69" s="307"/>
      <c r="Q69" s="307"/>
      <c r="R69" s="307"/>
      <c r="S69" s="307">
        <f t="shared" si="22"/>
        <v>533.32499999999993</v>
      </c>
      <c r="T69" s="307">
        <f t="shared" si="23"/>
        <v>41.024999999999991</v>
      </c>
      <c r="U69" s="307"/>
      <c r="V69" s="307"/>
      <c r="W69" s="307">
        <f>N69+Q69+S69+U69+0.01</f>
        <v>1084.4374999999998</v>
      </c>
      <c r="X69" s="307">
        <f t="shared" si="25"/>
        <v>71.11</v>
      </c>
      <c r="Y69" s="307">
        <f t="shared" si="26"/>
        <v>5.47</v>
      </c>
      <c r="Z69" s="325"/>
      <c r="AA69" s="325"/>
      <c r="AB69" s="324"/>
      <c r="AC69" s="324"/>
      <c r="AD69" s="324"/>
      <c r="AE69" s="307"/>
      <c r="AF69" s="325"/>
      <c r="AG69" s="325"/>
      <c r="AH69" s="325"/>
      <c r="AI69" s="324"/>
      <c r="AJ69" s="324"/>
    </row>
    <row r="70" spans="1:36" ht="19.5">
      <c r="A70" s="21">
        <f t="shared" si="27"/>
        <v>43</v>
      </c>
      <c r="B70" s="161" t="s">
        <v>421</v>
      </c>
      <c r="C70" s="107" t="s">
        <v>408</v>
      </c>
      <c r="D70" s="313" t="s">
        <v>79</v>
      </c>
      <c r="E70" s="314" t="s">
        <v>47</v>
      </c>
      <c r="F70" s="330">
        <f>417+30+50+50</f>
        <v>547</v>
      </c>
      <c r="G70" s="316">
        <f t="shared" si="20"/>
        <v>6564</v>
      </c>
      <c r="H70" s="316">
        <v>60</v>
      </c>
      <c r="I70" s="323"/>
      <c r="J70" s="316">
        <f t="shared" si="21"/>
        <v>547</v>
      </c>
      <c r="K70" s="316">
        <v>300</v>
      </c>
      <c r="L70" s="324"/>
      <c r="M70" s="307">
        <v>125</v>
      </c>
      <c r="N70" s="307"/>
      <c r="O70" s="307"/>
      <c r="P70" s="307"/>
      <c r="Q70" s="307"/>
      <c r="R70" s="307"/>
      <c r="S70" s="307">
        <f t="shared" si="22"/>
        <v>533.32499999999993</v>
      </c>
      <c r="T70" s="307">
        <f t="shared" si="23"/>
        <v>41.024999999999991</v>
      </c>
      <c r="U70" s="307">
        <f>F70*0.06*13</f>
        <v>426.66</v>
      </c>
      <c r="V70" s="307">
        <f>U70/12</f>
        <v>35.555</v>
      </c>
      <c r="W70" s="307">
        <f>N70+Q70+S70+U70</f>
        <v>959.9849999999999</v>
      </c>
      <c r="X70" s="307">
        <f t="shared" si="25"/>
        <v>71.11</v>
      </c>
      <c r="Y70" s="307">
        <f t="shared" si="26"/>
        <v>5.47</v>
      </c>
      <c r="Z70" s="325"/>
      <c r="AA70" s="325"/>
      <c r="AB70" s="324"/>
      <c r="AC70" s="324"/>
      <c r="AD70" s="324"/>
      <c r="AE70" s="307"/>
      <c r="AF70" s="325"/>
      <c r="AG70" s="325"/>
      <c r="AH70" s="325"/>
      <c r="AI70" s="324"/>
      <c r="AJ70" s="324"/>
    </row>
    <row r="71" spans="1:36" ht="19.5">
      <c r="A71" s="21">
        <f t="shared" si="27"/>
        <v>44</v>
      </c>
      <c r="B71" s="161" t="s">
        <v>435</v>
      </c>
      <c r="C71" s="107" t="s">
        <v>408</v>
      </c>
      <c r="D71" s="313" t="s">
        <v>79</v>
      </c>
      <c r="E71" s="314" t="s">
        <v>47</v>
      </c>
      <c r="F71" s="315">
        <f>387+30+50+50</f>
        <v>517</v>
      </c>
      <c r="G71" s="316">
        <f t="shared" si="20"/>
        <v>6204</v>
      </c>
      <c r="H71" s="316">
        <v>60</v>
      </c>
      <c r="I71" s="323"/>
      <c r="J71" s="316">
        <f t="shared" si="21"/>
        <v>517</v>
      </c>
      <c r="K71" s="316">
        <v>300</v>
      </c>
      <c r="L71" s="324"/>
      <c r="M71" s="307"/>
      <c r="N71" s="307">
        <f>F71*0.0775*13</f>
        <v>520.87750000000005</v>
      </c>
      <c r="O71" s="307"/>
      <c r="P71" s="307">
        <f t="shared" ref="P71:P74" si="40">N71/13</f>
        <v>40.067500000000003</v>
      </c>
      <c r="Q71" s="307"/>
      <c r="R71" s="307"/>
      <c r="S71" s="307">
        <f t="shared" si="22"/>
        <v>504.07499999999999</v>
      </c>
      <c r="T71" s="307">
        <f t="shared" si="23"/>
        <v>38.774999999999999</v>
      </c>
      <c r="U71" s="307"/>
      <c r="V71" s="307"/>
      <c r="W71" s="307">
        <f>N71+Q71+S71+U71</f>
        <v>1024.9525000000001</v>
      </c>
      <c r="X71" s="307">
        <f t="shared" si="25"/>
        <v>67.209999999999994</v>
      </c>
      <c r="Y71" s="307">
        <f t="shared" si="26"/>
        <v>5.17</v>
      </c>
      <c r="Z71" s="325"/>
      <c r="AA71" s="325"/>
      <c r="AB71" s="324"/>
      <c r="AC71" s="324"/>
      <c r="AD71" s="324"/>
      <c r="AE71" s="307"/>
      <c r="AF71" s="325"/>
      <c r="AG71" s="325"/>
      <c r="AH71" s="325"/>
      <c r="AI71" s="324"/>
      <c r="AJ71" s="324"/>
    </row>
    <row r="72" spans="1:36" ht="19.5">
      <c r="A72" s="21">
        <f t="shared" si="27"/>
        <v>45</v>
      </c>
      <c r="B72" s="161" t="s">
        <v>435</v>
      </c>
      <c r="C72" s="107" t="s">
        <v>408</v>
      </c>
      <c r="D72" s="313" t="s">
        <v>79</v>
      </c>
      <c r="E72" s="314" t="s">
        <v>47</v>
      </c>
      <c r="F72" s="315">
        <f>387+30+50+50</f>
        <v>517</v>
      </c>
      <c r="G72" s="316">
        <f>F72*12</f>
        <v>6204</v>
      </c>
      <c r="H72" s="316">
        <v>60</v>
      </c>
      <c r="I72" s="323"/>
      <c r="J72" s="316">
        <f t="shared" si="21"/>
        <v>517</v>
      </c>
      <c r="K72" s="316">
        <v>300</v>
      </c>
      <c r="L72" s="324"/>
      <c r="M72" s="307">
        <v>125</v>
      </c>
      <c r="N72" s="307">
        <f>F72*0.0775*13</f>
        <v>520.87750000000005</v>
      </c>
      <c r="O72" s="321"/>
      <c r="P72" s="307">
        <f t="shared" si="40"/>
        <v>40.067500000000003</v>
      </c>
      <c r="Q72" s="307"/>
      <c r="R72" s="307"/>
      <c r="S72" s="307">
        <f t="shared" si="22"/>
        <v>504.07499999999999</v>
      </c>
      <c r="T72" s="307">
        <f t="shared" si="23"/>
        <v>38.774999999999999</v>
      </c>
      <c r="U72" s="307"/>
      <c r="V72" s="307"/>
      <c r="W72" s="307">
        <f t="shared" ref="W72:W75" si="41">N72+Q72+S72+U72</f>
        <v>1024.9525000000001</v>
      </c>
      <c r="X72" s="307">
        <f t="shared" si="25"/>
        <v>67.209999999999994</v>
      </c>
      <c r="Y72" s="307">
        <f t="shared" si="26"/>
        <v>5.17</v>
      </c>
      <c r="Z72" s="325"/>
      <c r="AA72" s="325"/>
      <c r="AB72" s="324"/>
      <c r="AC72" s="324"/>
      <c r="AD72" s="324"/>
      <c r="AE72" s="307"/>
      <c r="AF72" s="325"/>
      <c r="AG72" s="325"/>
      <c r="AH72" s="325"/>
      <c r="AI72" s="324"/>
      <c r="AJ72" s="324"/>
    </row>
    <row r="73" spans="1:36" ht="19.5">
      <c r="A73" s="21">
        <f t="shared" si="27"/>
        <v>46</v>
      </c>
      <c r="B73" s="161" t="s">
        <v>435</v>
      </c>
      <c r="C73" s="107" t="s">
        <v>408</v>
      </c>
      <c r="D73" s="313" t="s">
        <v>79</v>
      </c>
      <c r="E73" s="314" t="s">
        <v>47</v>
      </c>
      <c r="F73" s="315">
        <f>387+30+50+50</f>
        <v>517</v>
      </c>
      <c r="G73" s="316">
        <f>F73*12</f>
        <v>6204</v>
      </c>
      <c r="H73" s="316">
        <v>60</v>
      </c>
      <c r="I73" s="323"/>
      <c r="J73" s="316">
        <f t="shared" si="21"/>
        <v>517</v>
      </c>
      <c r="K73" s="316">
        <v>300</v>
      </c>
      <c r="L73" s="324"/>
      <c r="M73" s="307"/>
      <c r="N73" s="307"/>
      <c r="O73" s="321"/>
      <c r="P73" s="307"/>
      <c r="Q73" s="307"/>
      <c r="R73" s="307"/>
      <c r="S73" s="307">
        <f t="shared" si="22"/>
        <v>504.07499999999999</v>
      </c>
      <c r="T73" s="307">
        <f t="shared" si="23"/>
        <v>38.774999999999999</v>
      </c>
      <c r="U73" s="307">
        <f>F73*0.06*13</f>
        <v>403.26</v>
      </c>
      <c r="V73" s="307">
        <f>U73/12</f>
        <v>33.604999999999997</v>
      </c>
      <c r="W73" s="307">
        <f>N73+Q73+S73+U73</f>
        <v>907.33500000000004</v>
      </c>
      <c r="X73" s="307">
        <f t="shared" si="25"/>
        <v>67.209999999999994</v>
      </c>
      <c r="Y73" s="307">
        <f t="shared" si="26"/>
        <v>5.17</v>
      </c>
      <c r="Z73" s="325"/>
      <c r="AA73" s="325"/>
      <c r="AB73" s="324"/>
      <c r="AC73" s="325"/>
      <c r="AD73" s="324"/>
      <c r="AE73" s="307"/>
      <c r="AF73" s="325"/>
      <c r="AG73" s="325"/>
      <c r="AH73" s="325"/>
      <c r="AI73" s="325"/>
      <c r="AJ73" s="324"/>
    </row>
    <row r="74" spans="1:36" ht="19.5">
      <c r="A74" s="21">
        <f t="shared" si="27"/>
        <v>47</v>
      </c>
      <c r="B74" s="161" t="s">
        <v>435</v>
      </c>
      <c r="C74" s="107" t="s">
        <v>408</v>
      </c>
      <c r="D74" s="313" t="s">
        <v>79</v>
      </c>
      <c r="E74" s="314" t="s">
        <v>47</v>
      </c>
      <c r="F74" s="315">
        <f>387+30+50+50</f>
        <v>517</v>
      </c>
      <c r="G74" s="316">
        <f t="shared" si="20"/>
        <v>6204</v>
      </c>
      <c r="H74" s="316">
        <v>60</v>
      </c>
      <c r="I74" s="323"/>
      <c r="J74" s="316">
        <f t="shared" si="21"/>
        <v>517</v>
      </c>
      <c r="K74" s="316">
        <v>300</v>
      </c>
      <c r="L74" s="324"/>
      <c r="M74" s="307">
        <v>125</v>
      </c>
      <c r="N74" s="307">
        <f t="shared" ref="N74:N88" si="42">F74*0.0775*13</f>
        <v>520.87750000000005</v>
      </c>
      <c r="O74" s="307"/>
      <c r="P74" s="307">
        <f t="shared" si="40"/>
        <v>40.067500000000003</v>
      </c>
      <c r="Q74" s="307"/>
      <c r="R74" s="307"/>
      <c r="S74" s="307">
        <f t="shared" si="22"/>
        <v>504.07499999999999</v>
      </c>
      <c r="T74" s="307">
        <f t="shared" si="23"/>
        <v>38.774999999999999</v>
      </c>
      <c r="U74" s="307"/>
      <c r="V74" s="307"/>
      <c r="W74" s="307">
        <f t="shared" si="41"/>
        <v>1024.9525000000001</v>
      </c>
      <c r="X74" s="307">
        <f t="shared" si="25"/>
        <v>67.209999999999994</v>
      </c>
      <c r="Y74" s="307">
        <f t="shared" si="26"/>
        <v>5.17</v>
      </c>
      <c r="Z74" s="325"/>
      <c r="AA74" s="325"/>
      <c r="AB74" s="324"/>
      <c r="AC74" s="324"/>
      <c r="AD74" s="324"/>
      <c r="AE74" s="307"/>
      <c r="AF74" s="325"/>
      <c r="AG74" s="325"/>
      <c r="AH74" s="325"/>
      <c r="AI74" s="324"/>
      <c r="AJ74" s="324"/>
    </row>
    <row r="75" spans="1:36" ht="19.5">
      <c r="A75" s="21">
        <f t="shared" si="27"/>
        <v>48</v>
      </c>
      <c r="B75" s="161" t="s">
        <v>435</v>
      </c>
      <c r="C75" s="107" t="s">
        <v>408</v>
      </c>
      <c r="D75" s="313" t="s">
        <v>79</v>
      </c>
      <c r="E75" s="314" t="s">
        <v>47</v>
      </c>
      <c r="F75" s="315">
        <f>387+30+50+50</f>
        <v>517</v>
      </c>
      <c r="G75" s="316">
        <f t="shared" si="20"/>
        <v>6204</v>
      </c>
      <c r="H75" s="316">
        <v>60</v>
      </c>
      <c r="I75" s="323"/>
      <c r="J75" s="316">
        <f t="shared" si="21"/>
        <v>517</v>
      </c>
      <c r="K75" s="316">
        <v>300</v>
      </c>
      <c r="L75" s="324"/>
      <c r="M75" s="307"/>
      <c r="N75" s="307">
        <f t="shared" si="42"/>
        <v>520.87750000000005</v>
      </c>
      <c r="O75" s="307"/>
      <c r="P75" s="307">
        <f>N75/13</f>
        <v>40.067500000000003</v>
      </c>
      <c r="Q75" s="307"/>
      <c r="R75" s="307"/>
      <c r="S75" s="307">
        <f t="shared" si="22"/>
        <v>504.07499999999999</v>
      </c>
      <c r="T75" s="307">
        <f t="shared" si="23"/>
        <v>38.774999999999999</v>
      </c>
      <c r="U75" s="307"/>
      <c r="V75" s="307"/>
      <c r="W75" s="307">
        <f t="shared" si="41"/>
        <v>1024.9525000000001</v>
      </c>
      <c r="X75" s="307">
        <f t="shared" si="25"/>
        <v>67.209999999999994</v>
      </c>
      <c r="Y75" s="307">
        <f t="shared" si="26"/>
        <v>5.17</v>
      </c>
      <c r="Z75" s="325"/>
      <c r="AA75" s="325"/>
      <c r="AB75" s="324"/>
      <c r="AC75" s="324"/>
      <c r="AD75" s="324"/>
      <c r="AE75" s="307"/>
      <c r="AF75" s="325"/>
      <c r="AG75" s="325"/>
      <c r="AH75" s="325"/>
      <c r="AI75" s="324"/>
      <c r="AJ75" s="324"/>
    </row>
    <row r="76" spans="1:36" ht="19.5">
      <c r="A76" s="21">
        <f t="shared" si="27"/>
        <v>49</v>
      </c>
      <c r="B76" s="147" t="s">
        <v>444</v>
      </c>
      <c r="C76" s="107" t="s">
        <v>408</v>
      </c>
      <c r="D76" s="313" t="s">
        <v>79</v>
      </c>
      <c r="E76" s="314" t="s">
        <v>47</v>
      </c>
      <c r="F76" s="315">
        <f>417+50</f>
        <v>467</v>
      </c>
      <c r="G76" s="316">
        <f t="shared" si="20"/>
        <v>5604</v>
      </c>
      <c r="H76" s="316">
        <v>60</v>
      </c>
      <c r="I76" s="323"/>
      <c r="J76" s="316">
        <f t="shared" si="21"/>
        <v>467</v>
      </c>
      <c r="K76" s="316">
        <v>300</v>
      </c>
      <c r="L76" s="324"/>
      <c r="M76" s="307">
        <v>125</v>
      </c>
      <c r="N76" s="307">
        <f t="shared" si="42"/>
        <v>470.50250000000005</v>
      </c>
      <c r="O76" s="307">
        <f>N76/13</f>
        <v>36.192500000000003</v>
      </c>
      <c r="P76" s="307"/>
      <c r="Q76" s="307"/>
      <c r="R76" s="307"/>
      <c r="S76" s="307">
        <f t="shared" si="22"/>
        <v>455.32499999999999</v>
      </c>
      <c r="T76" s="307">
        <f t="shared" si="23"/>
        <v>35.024999999999999</v>
      </c>
      <c r="U76" s="307"/>
      <c r="V76" s="307"/>
      <c r="W76" s="307">
        <f>N76+Q76+S76+U76+0.01</f>
        <v>925.83750000000009</v>
      </c>
      <c r="X76" s="307">
        <f t="shared" si="25"/>
        <v>60.71</v>
      </c>
      <c r="Y76" s="307">
        <f t="shared" si="26"/>
        <v>4.67</v>
      </c>
      <c r="Z76" s="325"/>
      <c r="AA76" s="325"/>
      <c r="AB76" s="324"/>
      <c r="AC76" s="324"/>
      <c r="AD76" s="324"/>
      <c r="AE76" s="307"/>
      <c r="AF76" s="325"/>
      <c r="AG76" s="325"/>
      <c r="AH76" s="325"/>
      <c r="AI76" s="324"/>
      <c r="AJ76" s="324"/>
    </row>
    <row r="77" spans="1:36" ht="19.5">
      <c r="A77" s="21">
        <f t="shared" si="27"/>
        <v>50</v>
      </c>
      <c r="B77" s="155" t="s">
        <v>444</v>
      </c>
      <c r="C77" s="107" t="s">
        <v>408</v>
      </c>
      <c r="D77" s="313" t="s">
        <v>79</v>
      </c>
      <c r="E77" s="314" t="s">
        <v>47</v>
      </c>
      <c r="F77" s="315">
        <v>417</v>
      </c>
      <c r="G77" s="316">
        <f t="shared" si="20"/>
        <v>5004</v>
      </c>
      <c r="H77" s="316">
        <v>60</v>
      </c>
      <c r="I77" s="323"/>
      <c r="J77" s="316">
        <f t="shared" si="21"/>
        <v>417</v>
      </c>
      <c r="K77" s="316">
        <v>300</v>
      </c>
      <c r="L77" s="324"/>
      <c r="M77" s="307"/>
      <c r="N77" s="307">
        <f t="shared" si="42"/>
        <v>420.12750000000005</v>
      </c>
      <c r="O77" s="307"/>
      <c r="P77" s="307">
        <f>N77/13</f>
        <v>32.317500000000003</v>
      </c>
      <c r="Q77" s="307"/>
      <c r="R77" s="307"/>
      <c r="S77" s="307">
        <f t="shared" si="22"/>
        <v>406.57499999999999</v>
      </c>
      <c r="T77" s="307">
        <f t="shared" si="23"/>
        <v>31.274999999999999</v>
      </c>
      <c r="U77" s="307"/>
      <c r="V77" s="307"/>
      <c r="W77" s="307">
        <f>N77+Q77+S77+U77+0.01</f>
        <v>826.71250000000009</v>
      </c>
      <c r="X77" s="307">
        <f t="shared" si="25"/>
        <v>54.21</v>
      </c>
      <c r="Y77" s="307">
        <f t="shared" si="26"/>
        <v>4.17</v>
      </c>
      <c r="Z77" s="325"/>
      <c r="AA77" s="325"/>
      <c r="AB77" s="324"/>
      <c r="AC77" s="324"/>
      <c r="AD77" s="324"/>
      <c r="AE77" s="307"/>
      <c r="AF77" s="325"/>
      <c r="AG77" s="325"/>
      <c r="AH77" s="325"/>
      <c r="AI77" s="324"/>
      <c r="AJ77" s="324"/>
    </row>
    <row r="78" spans="1:36">
      <c r="A78" s="21">
        <f t="shared" si="27"/>
        <v>51</v>
      </c>
      <c r="B78" s="165" t="s">
        <v>444</v>
      </c>
      <c r="C78" s="107" t="s">
        <v>408</v>
      </c>
      <c r="D78" s="313" t="s">
        <v>759</v>
      </c>
      <c r="E78" s="314" t="s">
        <v>47</v>
      </c>
      <c r="F78" s="315">
        <v>417</v>
      </c>
      <c r="G78" s="316">
        <f>F78*12</f>
        <v>5004</v>
      </c>
      <c r="H78" s="316">
        <v>60</v>
      </c>
      <c r="I78" s="323"/>
      <c r="J78" s="316">
        <f t="shared" si="21"/>
        <v>417</v>
      </c>
      <c r="K78" s="316">
        <v>300</v>
      </c>
      <c r="L78" s="324"/>
      <c r="M78" s="307"/>
      <c r="N78" s="307">
        <f t="shared" si="42"/>
        <v>420.12750000000005</v>
      </c>
      <c r="O78" s="307">
        <f>N78/13</f>
        <v>32.317500000000003</v>
      </c>
      <c r="P78" s="307"/>
      <c r="Q78" s="307"/>
      <c r="R78" s="307"/>
      <c r="S78" s="307">
        <f t="shared" si="22"/>
        <v>406.57499999999999</v>
      </c>
      <c r="T78" s="307">
        <f>S78/13</f>
        <v>31.274999999999999</v>
      </c>
      <c r="U78" s="307"/>
      <c r="V78" s="307"/>
      <c r="W78" s="307">
        <f>N78+Q78+S78+U78+0.01</f>
        <v>826.71250000000009</v>
      </c>
      <c r="X78" s="307">
        <f t="shared" si="25"/>
        <v>54.21</v>
      </c>
      <c r="Y78" s="307">
        <f>X78/13</f>
        <v>4.17</v>
      </c>
      <c r="Z78" s="325"/>
      <c r="AA78" s="325"/>
      <c r="AB78" s="324"/>
      <c r="AC78" s="324"/>
      <c r="AD78" s="324"/>
      <c r="AE78" s="307"/>
      <c r="AF78" s="325"/>
      <c r="AG78" s="325"/>
      <c r="AH78" s="325"/>
      <c r="AI78" s="324"/>
      <c r="AJ78" s="324"/>
    </row>
    <row r="79" spans="1:36">
      <c r="A79" s="21">
        <f t="shared" si="27"/>
        <v>52</v>
      </c>
      <c r="B79" s="158" t="s">
        <v>444</v>
      </c>
      <c r="C79" s="107" t="s">
        <v>408</v>
      </c>
      <c r="D79" s="313" t="s">
        <v>762</v>
      </c>
      <c r="E79" s="314" t="s">
        <v>47</v>
      </c>
      <c r="F79" s="315">
        <v>417</v>
      </c>
      <c r="G79" s="316">
        <f t="shared" ref="G79:G87" si="43">F79*12</f>
        <v>5004</v>
      </c>
      <c r="H79" s="316">
        <v>60</v>
      </c>
      <c r="I79" s="323"/>
      <c r="J79" s="316">
        <f t="shared" si="21"/>
        <v>417</v>
      </c>
      <c r="K79" s="316">
        <v>300</v>
      </c>
      <c r="L79" s="324"/>
      <c r="M79" s="307"/>
      <c r="N79" s="307">
        <f t="shared" si="42"/>
        <v>420.12750000000005</v>
      </c>
      <c r="O79" s="307">
        <f t="shared" ref="O79:O87" si="44">N79/13</f>
        <v>32.317500000000003</v>
      </c>
      <c r="P79" s="307"/>
      <c r="Q79" s="307"/>
      <c r="R79" s="307"/>
      <c r="S79" s="307">
        <f t="shared" si="22"/>
        <v>406.57499999999999</v>
      </c>
      <c r="T79" s="307">
        <f t="shared" ref="T79:T87" si="45">S79/13</f>
        <v>31.274999999999999</v>
      </c>
      <c r="U79" s="307"/>
      <c r="V79" s="307"/>
      <c r="W79" s="307">
        <f t="shared" ref="W79:W87" si="46">N79+Q79+S79+U79+0.01</f>
        <v>826.71250000000009</v>
      </c>
      <c r="X79" s="307">
        <f t="shared" si="25"/>
        <v>54.21</v>
      </c>
      <c r="Y79" s="307">
        <f t="shared" ref="Y79:Y87" si="47">X79/13</f>
        <v>4.17</v>
      </c>
      <c r="Z79" s="325"/>
      <c r="AA79" s="325"/>
      <c r="AB79" s="324"/>
      <c r="AC79" s="324"/>
      <c r="AD79" s="324"/>
      <c r="AE79" s="307"/>
      <c r="AF79" s="325"/>
      <c r="AG79" s="325"/>
      <c r="AH79" s="325"/>
      <c r="AI79" s="324"/>
      <c r="AJ79" s="324"/>
    </row>
    <row r="80" spans="1:36">
      <c r="A80" s="21">
        <f t="shared" si="27"/>
        <v>53</v>
      </c>
      <c r="B80" s="158" t="s">
        <v>444</v>
      </c>
      <c r="C80" s="107" t="s">
        <v>408</v>
      </c>
      <c r="D80" s="313" t="s">
        <v>762</v>
      </c>
      <c r="E80" s="314" t="s">
        <v>47</v>
      </c>
      <c r="F80" s="315">
        <v>417</v>
      </c>
      <c r="G80" s="316">
        <f t="shared" si="43"/>
        <v>5004</v>
      </c>
      <c r="H80" s="316">
        <v>60</v>
      </c>
      <c r="I80" s="323"/>
      <c r="J80" s="316">
        <f t="shared" si="21"/>
        <v>417</v>
      </c>
      <c r="K80" s="316">
        <v>300</v>
      </c>
      <c r="L80" s="324"/>
      <c r="M80" s="307"/>
      <c r="N80" s="307">
        <f t="shared" si="42"/>
        <v>420.12750000000005</v>
      </c>
      <c r="O80" s="307">
        <f t="shared" si="44"/>
        <v>32.317500000000003</v>
      </c>
      <c r="P80" s="307"/>
      <c r="Q80" s="307"/>
      <c r="R80" s="307"/>
      <c r="S80" s="307">
        <f t="shared" si="22"/>
        <v>406.57499999999999</v>
      </c>
      <c r="T80" s="307">
        <f t="shared" si="45"/>
        <v>31.274999999999999</v>
      </c>
      <c r="U80" s="307"/>
      <c r="V80" s="307"/>
      <c r="W80" s="307">
        <f t="shared" si="46"/>
        <v>826.71250000000009</v>
      </c>
      <c r="X80" s="307">
        <f t="shared" si="25"/>
        <v>54.21</v>
      </c>
      <c r="Y80" s="307">
        <f t="shared" si="47"/>
        <v>4.17</v>
      </c>
      <c r="Z80" s="325"/>
      <c r="AA80" s="325"/>
      <c r="AB80" s="324"/>
      <c r="AC80" s="324"/>
      <c r="AD80" s="324"/>
      <c r="AE80" s="307"/>
      <c r="AF80" s="325"/>
      <c r="AG80" s="325"/>
      <c r="AH80" s="325"/>
      <c r="AI80" s="324"/>
      <c r="AJ80" s="324"/>
    </row>
    <row r="81" spans="1:36">
      <c r="A81" s="21">
        <f t="shared" si="27"/>
        <v>54</v>
      </c>
      <c r="B81" s="158" t="s">
        <v>444</v>
      </c>
      <c r="C81" s="107" t="s">
        <v>408</v>
      </c>
      <c r="D81" s="313" t="s">
        <v>762</v>
      </c>
      <c r="E81" s="314" t="s">
        <v>47</v>
      </c>
      <c r="F81" s="315">
        <v>417</v>
      </c>
      <c r="G81" s="316">
        <f t="shared" si="43"/>
        <v>5004</v>
      </c>
      <c r="H81" s="316">
        <v>60</v>
      </c>
      <c r="I81" s="323"/>
      <c r="J81" s="316">
        <f t="shared" si="21"/>
        <v>417</v>
      </c>
      <c r="K81" s="316">
        <v>300</v>
      </c>
      <c r="L81" s="324"/>
      <c r="M81" s="307"/>
      <c r="N81" s="307">
        <f t="shared" si="42"/>
        <v>420.12750000000005</v>
      </c>
      <c r="O81" s="307">
        <f t="shared" si="44"/>
        <v>32.317500000000003</v>
      </c>
      <c r="P81" s="307"/>
      <c r="Q81" s="307"/>
      <c r="R81" s="307"/>
      <c r="S81" s="307">
        <f t="shared" si="22"/>
        <v>406.57499999999999</v>
      </c>
      <c r="T81" s="307">
        <f t="shared" si="45"/>
        <v>31.274999999999999</v>
      </c>
      <c r="U81" s="307"/>
      <c r="V81" s="307"/>
      <c r="W81" s="307">
        <f t="shared" si="46"/>
        <v>826.71250000000009</v>
      </c>
      <c r="X81" s="307">
        <f t="shared" si="25"/>
        <v>54.21</v>
      </c>
      <c r="Y81" s="307">
        <f t="shared" si="47"/>
        <v>4.17</v>
      </c>
      <c r="Z81" s="325"/>
      <c r="AA81" s="325"/>
      <c r="AB81" s="324"/>
      <c r="AC81" s="324"/>
      <c r="AD81" s="324"/>
      <c r="AE81" s="307"/>
      <c r="AF81" s="325"/>
      <c r="AG81" s="325"/>
      <c r="AH81" s="325"/>
      <c r="AI81" s="324"/>
      <c r="AJ81" s="324"/>
    </row>
    <row r="82" spans="1:36">
      <c r="A82" s="21">
        <f t="shared" si="27"/>
        <v>55</v>
      </c>
      <c r="B82" s="158" t="s">
        <v>444</v>
      </c>
      <c r="C82" s="107" t="s">
        <v>408</v>
      </c>
      <c r="D82" s="313" t="s">
        <v>762</v>
      </c>
      <c r="E82" s="314" t="s">
        <v>47</v>
      </c>
      <c r="F82" s="315">
        <v>417</v>
      </c>
      <c r="G82" s="316">
        <f t="shared" si="43"/>
        <v>5004</v>
      </c>
      <c r="H82" s="316">
        <v>60</v>
      </c>
      <c r="I82" s="323"/>
      <c r="J82" s="316">
        <f t="shared" si="21"/>
        <v>417</v>
      </c>
      <c r="K82" s="316">
        <v>300</v>
      </c>
      <c r="L82" s="324"/>
      <c r="M82" s="307"/>
      <c r="N82" s="307">
        <f t="shared" si="42"/>
        <v>420.12750000000005</v>
      </c>
      <c r="O82" s="307">
        <f t="shared" si="44"/>
        <v>32.317500000000003</v>
      </c>
      <c r="P82" s="307"/>
      <c r="Q82" s="307"/>
      <c r="R82" s="307"/>
      <c r="S82" s="307">
        <f t="shared" si="22"/>
        <v>406.57499999999999</v>
      </c>
      <c r="T82" s="307">
        <f t="shared" si="45"/>
        <v>31.274999999999999</v>
      </c>
      <c r="U82" s="307"/>
      <c r="V82" s="307"/>
      <c r="W82" s="307">
        <f t="shared" si="46"/>
        <v>826.71250000000009</v>
      </c>
      <c r="X82" s="307">
        <f t="shared" si="25"/>
        <v>54.21</v>
      </c>
      <c r="Y82" s="307">
        <f t="shared" si="47"/>
        <v>4.17</v>
      </c>
      <c r="Z82" s="325"/>
      <c r="AA82" s="325"/>
      <c r="AB82" s="324"/>
      <c r="AC82" s="324"/>
      <c r="AD82" s="324"/>
      <c r="AE82" s="307"/>
      <c r="AF82" s="325"/>
      <c r="AG82" s="325"/>
      <c r="AH82" s="325"/>
      <c r="AI82" s="324"/>
      <c r="AJ82" s="324"/>
    </row>
    <row r="83" spans="1:36">
      <c r="A83" s="21">
        <f t="shared" si="27"/>
        <v>56</v>
      </c>
      <c r="B83" s="165" t="s">
        <v>444</v>
      </c>
      <c r="C83" s="107" t="s">
        <v>408</v>
      </c>
      <c r="D83" s="313" t="s">
        <v>759</v>
      </c>
      <c r="E83" s="314" t="s">
        <v>47</v>
      </c>
      <c r="F83" s="315">
        <v>417</v>
      </c>
      <c r="G83" s="316">
        <f t="shared" ref="G83" si="48">F83*12</f>
        <v>5004</v>
      </c>
      <c r="H83" s="316">
        <v>60</v>
      </c>
      <c r="I83" s="323"/>
      <c r="J83" s="316">
        <f t="shared" ref="J83" si="49">F83</f>
        <v>417</v>
      </c>
      <c r="K83" s="316">
        <v>300</v>
      </c>
      <c r="L83" s="324"/>
      <c r="M83" s="307"/>
      <c r="N83" s="307">
        <f t="shared" si="42"/>
        <v>420.12750000000005</v>
      </c>
      <c r="O83" s="307">
        <f t="shared" ref="O83" si="50">N83/13</f>
        <v>32.317500000000003</v>
      </c>
      <c r="P83" s="307"/>
      <c r="Q83" s="307"/>
      <c r="R83" s="307"/>
      <c r="S83" s="307">
        <f t="shared" si="22"/>
        <v>406.57499999999999</v>
      </c>
      <c r="T83" s="307">
        <f t="shared" ref="T83" si="51">S83/13</f>
        <v>31.274999999999999</v>
      </c>
      <c r="U83" s="307"/>
      <c r="V83" s="307"/>
      <c r="W83" s="307">
        <f t="shared" ref="W83" si="52">N83+Q83+S83+U83+0.01</f>
        <v>826.71250000000009</v>
      </c>
      <c r="X83" s="307">
        <f t="shared" si="25"/>
        <v>54.21</v>
      </c>
      <c r="Y83" s="307">
        <f t="shared" ref="Y83" si="53">X83/13</f>
        <v>4.17</v>
      </c>
      <c r="Z83" s="325"/>
      <c r="AA83" s="325"/>
      <c r="AB83" s="324"/>
      <c r="AC83" s="324"/>
      <c r="AD83" s="324"/>
      <c r="AE83" s="307"/>
      <c r="AF83" s="325"/>
      <c r="AG83" s="325"/>
      <c r="AH83" s="325"/>
      <c r="AI83" s="324"/>
      <c r="AJ83" s="324"/>
    </row>
    <row r="84" spans="1:36">
      <c r="A84" s="21">
        <f t="shared" si="27"/>
        <v>57</v>
      </c>
      <c r="B84" s="158" t="s">
        <v>444</v>
      </c>
      <c r="C84" s="107" t="s">
        <v>408</v>
      </c>
      <c r="D84" s="313" t="s">
        <v>762</v>
      </c>
      <c r="E84" s="314" t="s">
        <v>47</v>
      </c>
      <c r="F84" s="315">
        <v>417</v>
      </c>
      <c r="G84" s="316">
        <f t="shared" si="43"/>
        <v>5004</v>
      </c>
      <c r="H84" s="316">
        <v>60</v>
      </c>
      <c r="I84" s="323"/>
      <c r="J84" s="316">
        <f t="shared" si="21"/>
        <v>417</v>
      </c>
      <c r="K84" s="316">
        <v>300</v>
      </c>
      <c r="L84" s="324"/>
      <c r="M84" s="307"/>
      <c r="N84" s="307">
        <f t="shared" si="42"/>
        <v>420.12750000000005</v>
      </c>
      <c r="O84" s="307">
        <f t="shared" si="44"/>
        <v>32.317500000000003</v>
      </c>
      <c r="P84" s="307"/>
      <c r="Q84" s="307"/>
      <c r="R84" s="307"/>
      <c r="S84" s="307">
        <f t="shared" si="22"/>
        <v>406.57499999999999</v>
      </c>
      <c r="T84" s="307">
        <f t="shared" si="45"/>
        <v>31.274999999999999</v>
      </c>
      <c r="U84" s="307"/>
      <c r="V84" s="307"/>
      <c r="W84" s="307">
        <f t="shared" si="46"/>
        <v>826.71250000000009</v>
      </c>
      <c r="X84" s="307">
        <f t="shared" si="25"/>
        <v>54.21</v>
      </c>
      <c r="Y84" s="307">
        <f t="shared" si="47"/>
        <v>4.17</v>
      </c>
      <c r="Z84" s="325"/>
      <c r="AA84" s="325"/>
      <c r="AB84" s="324"/>
      <c r="AC84" s="324"/>
      <c r="AD84" s="324"/>
      <c r="AE84" s="307"/>
      <c r="AF84" s="325"/>
      <c r="AG84" s="325"/>
      <c r="AH84" s="325"/>
      <c r="AI84" s="324"/>
      <c r="AJ84" s="324"/>
    </row>
    <row r="85" spans="1:36">
      <c r="A85" s="21">
        <f t="shared" si="27"/>
        <v>58</v>
      </c>
      <c r="B85" s="158" t="s">
        <v>444</v>
      </c>
      <c r="C85" s="107" t="s">
        <v>408</v>
      </c>
      <c r="D85" s="313" t="s">
        <v>762</v>
      </c>
      <c r="E85" s="314" t="s">
        <v>47</v>
      </c>
      <c r="F85" s="315">
        <v>417</v>
      </c>
      <c r="G85" s="316">
        <f t="shared" si="43"/>
        <v>5004</v>
      </c>
      <c r="H85" s="316">
        <v>60</v>
      </c>
      <c r="I85" s="323"/>
      <c r="J85" s="316">
        <f t="shared" si="21"/>
        <v>417</v>
      </c>
      <c r="K85" s="316">
        <v>300</v>
      </c>
      <c r="L85" s="324"/>
      <c r="M85" s="307"/>
      <c r="N85" s="307">
        <f t="shared" si="42"/>
        <v>420.12750000000005</v>
      </c>
      <c r="O85" s="307">
        <f t="shared" si="44"/>
        <v>32.317500000000003</v>
      </c>
      <c r="P85" s="307"/>
      <c r="Q85" s="307"/>
      <c r="R85" s="307"/>
      <c r="S85" s="307">
        <f t="shared" si="22"/>
        <v>406.57499999999999</v>
      </c>
      <c r="T85" s="307">
        <f t="shared" si="45"/>
        <v>31.274999999999999</v>
      </c>
      <c r="U85" s="307"/>
      <c r="V85" s="307"/>
      <c r="W85" s="307">
        <f t="shared" si="46"/>
        <v>826.71250000000009</v>
      </c>
      <c r="X85" s="307">
        <f t="shared" si="25"/>
        <v>54.21</v>
      </c>
      <c r="Y85" s="307">
        <f t="shared" si="47"/>
        <v>4.17</v>
      </c>
      <c r="Z85" s="325"/>
      <c r="AA85" s="325"/>
      <c r="AB85" s="324"/>
      <c r="AC85" s="324"/>
      <c r="AD85" s="324"/>
      <c r="AE85" s="307"/>
      <c r="AF85" s="325"/>
      <c r="AG85" s="325"/>
      <c r="AH85" s="325"/>
      <c r="AI85" s="324"/>
      <c r="AJ85" s="324"/>
    </row>
    <row r="86" spans="1:36">
      <c r="A86" s="21">
        <f t="shared" si="27"/>
        <v>59</v>
      </c>
      <c r="B86" s="158" t="s">
        <v>444</v>
      </c>
      <c r="C86" s="107" t="s">
        <v>408</v>
      </c>
      <c r="D86" s="313" t="s">
        <v>762</v>
      </c>
      <c r="E86" s="314" t="s">
        <v>47</v>
      </c>
      <c r="F86" s="315">
        <v>417</v>
      </c>
      <c r="G86" s="316">
        <f t="shared" si="43"/>
        <v>5004</v>
      </c>
      <c r="H86" s="316">
        <v>60</v>
      </c>
      <c r="I86" s="323"/>
      <c r="J86" s="316">
        <f t="shared" si="21"/>
        <v>417</v>
      </c>
      <c r="K86" s="316">
        <v>300</v>
      </c>
      <c r="L86" s="324"/>
      <c r="M86" s="307"/>
      <c r="N86" s="307">
        <f t="shared" si="42"/>
        <v>420.12750000000005</v>
      </c>
      <c r="O86" s="307">
        <f t="shared" si="44"/>
        <v>32.317500000000003</v>
      </c>
      <c r="P86" s="307"/>
      <c r="Q86" s="307"/>
      <c r="R86" s="307"/>
      <c r="S86" s="307">
        <f t="shared" si="22"/>
        <v>406.57499999999999</v>
      </c>
      <c r="T86" s="307">
        <f t="shared" si="45"/>
        <v>31.274999999999999</v>
      </c>
      <c r="U86" s="307"/>
      <c r="V86" s="307"/>
      <c r="W86" s="307">
        <f t="shared" si="46"/>
        <v>826.71250000000009</v>
      </c>
      <c r="X86" s="307">
        <f t="shared" si="25"/>
        <v>54.21</v>
      </c>
      <c r="Y86" s="307">
        <f t="shared" si="47"/>
        <v>4.17</v>
      </c>
      <c r="Z86" s="325"/>
      <c r="AA86" s="325"/>
      <c r="AB86" s="324"/>
      <c r="AC86" s="324"/>
      <c r="AD86" s="324"/>
      <c r="AE86" s="307"/>
      <c r="AF86" s="325"/>
      <c r="AG86" s="325"/>
      <c r="AH86" s="325"/>
      <c r="AI86" s="324"/>
      <c r="AJ86" s="324"/>
    </row>
    <row r="87" spans="1:36">
      <c r="A87" s="21">
        <f t="shared" si="27"/>
        <v>60</v>
      </c>
      <c r="B87" s="158" t="s">
        <v>444</v>
      </c>
      <c r="C87" s="107" t="s">
        <v>408</v>
      </c>
      <c r="D87" s="313" t="s">
        <v>762</v>
      </c>
      <c r="E87" s="314" t="s">
        <v>47</v>
      </c>
      <c r="F87" s="315">
        <v>417</v>
      </c>
      <c r="G87" s="316">
        <f t="shared" si="43"/>
        <v>5004</v>
      </c>
      <c r="H87" s="316">
        <v>60</v>
      </c>
      <c r="I87" s="323"/>
      <c r="J87" s="316">
        <f t="shared" si="21"/>
        <v>417</v>
      </c>
      <c r="K87" s="316">
        <v>300</v>
      </c>
      <c r="L87" s="324"/>
      <c r="M87" s="307"/>
      <c r="N87" s="307">
        <f t="shared" si="42"/>
        <v>420.12750000000005</v>
      </c>
      <c r="O87" s="307">
        <f t="shared" si="44"/>
        <v>32.317500000000003</v>
      </c>
      <c r="P87" s="307"/>
      <c r="Q87" s="307"/>
      <c r="R87" s="307"/>
      <c r="S87" s="307">
        <f t="shared" si="22"/>
        <v>406.57499999999999</v>
      </c>
      <c r="T87" s="307">
        <f t="shared" si="45"/>
        <v>31.274999999999999</v>
      </c>
      <c r="U87" s="307"/>
      <c r="V87" s="307"/>
      <c r="W87" s="307">
        <f t="shared" si="46"/>
        <v>826.71250000000009</v>
      </c>
      <c r="X87" s="307">
        <f t="shared" si="25"/>
        <v>54.21</v>
      </c>
      <c r="Y87" s="307">
        <f t="shared" si="47"/>
        <v>4.17</v>
      </c>
      <c r="Z87" s="325"/>
      <c r="AA87" s="325"/>
      <c r="AB87" s="324"/>
      <c r="AC87" s="324"/>
      <c r="AD87" s="324"/>
      <c r="AE87" s="307"/>
      <c r="AF87" s="325"/>
      <c r="AG87" s="325"/>
      <c r="AH87" s="325"/>
      <c r="AI87" s="324"/>
      <c r="AJ87" s="324"/>
    </row>
    <row r="88" spans="1:36">
      <c r="A88" s="21">
        <f t="shared" si="27"/>
        <v>61</v>
      </c>
      <c r="B88" s="158" t="s">
        <v>732</v>
      </c>
      <c r="C88" s="107" t="s">
        <v>408</v>
      </c>
      <c r="D88" s="313" t="s">
        <v>762</v>
      </c>
      <c r="E88" s="314" t="s">
        <v>47</v>
      </c>
      <c r="F88" s="315">
        <v>417</v>
      </c>
      <c r="G88" s="316">
        <f t="shared" si="20"/>
        <v>5004</v>
      </c>
      <c r="H88" s="316">
        <v>60</v>
      </c>
      <c r="I88" s="323"/>
      <c r="J88" s="316">
        <f t="shared" si="21"/>
        <v>417</v>
      </c>
      <c r="K88" s="316">
        <v>300</v>
      </c>
      <c r="L88" s="324"/>
      <c r="M88" s="307"/>
      <c r="N88" s="307">
        <f t="shared" si="42"/>
        <v>420.12750000000005</v>
      </c>
      <c r="O88" s="321"/>
      <c r="P88" s="307">
        <f>N88/13</f>
        <v>32.317500000000003</v>
      </c>
      <c r="Q88" s="307"/>
      <c r="R88" s="307"/>
      <c r="S88" s="307">
        <f t="shared" si="22"/>
        <v>406.57499999999999</v>
      </c>
      <c r="T88" s="307">
        <f t="shared" si="23"/>
        <v>31.274999999999999</v>
      </c>
      <c r="U88" s="307"/>
      <c r="V88" s="307"/>
      <c r="W88" s="307">
        <f>N88+Q88+S88+U88+0.01</f>
        <v>826.71250000000009</v>
      </c>
      <c r="X88" s="307">
        <f t="shared" si="25"/>
        <v>54.21</v>
      </c>
      <c r="Y88" s="307">
        <f t="shared" si="26"/>
        <v>4.17</v>
      </c>
      <c r="Z88" s="325"/>
      <c r="AA88" s="325"/>
      <c r="AB88" s="324"/>
      <c r="AC88" s="324"/>
      <c r="AD88" s="324"/>
      <c r="AE88" s="307"/>
      <c r="AF88" s="325"/>
      <c r="AG88" s="325"/>
      <c r="AH88" s="325"/>
      <c r="AI88" s="324"/>
      <c r="AJ88" s="324"/>
    </row>
    <row r="89" spans="1:36">
      <c r="A89" s="21"/>
      <c r="B89" s="138" t="s">
        <v>449</v>
      </c>
      <c r="C89" s="141"/>
      <c r="D89" s="313"/>
      <c r="E89" s="314"/>
      <c r="F89" s="319">
        <f t="shared" ref="F89:M89" si="54">SUM(F47:F88)</f>
        <v>23613.45</v>
      </c>
      <c r="G89" s="320">
        <f t="shared" si="54"/>
        <v>283361.40000000002</v>
      </c>
      <c r="H89" s="320">
        <f t="shared" si="54"/>
        <v>2520</v>
      </c>
      <c r="I89" s="320">
        <f t="shared" si="54"/>
        <v>0</v>
      </c>
      <c r="J89" s="320">
        <f t="shared" si="54"/>
        <v>23613.45</v>
      </c>
      <c r="K89" s="320">
        <f t="shared" si="54"/>
        <v>12600</v>
      </c>
      <c r="L89" s="312">
        <f t="shared" si="54"/>
        <v>0</v>
      </c>
      <c r="M89" s="312">
        <f t="shared" si="54"/>
        <v>2625</v>
      </c>
      <c r="N89" s="312">
        <f>SUM(N47:N88)+0.06</f>
        <v>19572.057250000002</v>
      </c>
      <c r="O89" s="312">
        <f>SUM(O47:O88)+0.03</f>
        <v>790.61912499999983</v>
      </c>
      <c r="P89" s="312">
        <f>SUM(P47:P88)+0.03</f>
        <v>714.97912499999995</v>
      </c>
      <c r="Q89" s="312">
        <f>SUM(Q47:Q88)</f>
        <v>0</v>
      </c>
      <c r="R89" s="312">
        <f>SUM(R47:R88)</f>
        <v>0</v>
      </c>
      <c r="S89" s="312">
        <f>SUM(S47:S88)+0.17</f>
        <v>23023.283750000017</v>
      </c>
      <c r="T89" s="312">
        <f>SUM(T47:T88)+0.16</f>
        <v>1771.1687500000019</v>
      </c>
      <c r="U89" s="312">
        <f>SUM(U47:U88)</f>
        <v>3265.9769999999999</v>
      </c>
      <c r="V89" s="312">
        <f>SUM(V47:V88)+0.03</f>
        <v>272.19475</v>
      </c>
      <c r="W89" s="312">
        <f>SUM(W47:W88)+0.03</f>
        <v>45861.268000000004</v>
      </c>
      <c r="X89" s="312">
        <f>SUM(X47:X88)</f>
        <v>3069.7484999999992</v>
      </c>
      <c r="Y89" s="312">
        <f>SUM(Y47:Y88)</f>
        <v>236.13449999999978</v>
      </c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</row>
    <row r="90" spans="1:36" ht="37.5">
      <c r="A90" s="21">
        <f>A88+1</f>
        <v>62</v>
      </c>
      <c r="B90" s="147" t="s">
        <v>394</v>
      </c>
      <c r="C90" s="140" t="s">
        <v>395</v>
      </c>
      <c r="D90" s="156" t="s">
        <v>79</v>
      </c>
      <c r="E90" s="331" t="s">
        <v>47</v>
      </c>
      <c r="F90" s="315">
        <v>1025</v>
      </c>
      <c r="G90" s="316">
        <f>F90*12</f>
        <v>12300</v>
      </c>
      <c r="H90" s="316">
        <v>60</v>
      </c>
      <c r="I90" s="316">
        <v>5000</v>
      </c>
      <c r="J90" s="316">
        <f t="shared" ref="J90:J95" si="55">F90</f>
        <v>1025</v>
      </c>
      <c r="K90" s="316">
        <v>300</v>
      </c>
      <c r="L90" s="324"/>
      <c r="M90" s="307"/>
      <c r="N90" s="307">
        <f t="shared" ref="N90:N95" si="56">F90*0.0775*13</f>
        <v>1032.6875</v>
      </c>
      <c r="O90" s="321"/>
      <c r="P90" s="307">
        <f>N90/13</f>
        <v>79.4375</v>
      </c>
      <c r="Q90" s="307"/>
      <c r="R90" s="307"/>
      <c r="S90" s="307">
        <f>75*13</f>
        <v>975</v>
      </c>
      <c r="T90" s="307">
        <f>S90/13</f>
        <v>75</v>
      </c>
      <c r="U90" s="307"/>
      <c r="V90" s="307"/>
      <c r="W90" s="307">
        <f>N90+Q90+S90+U90</f>
        <v>2007.6875</v>
      </c>
      <c r="X90" s="307">
        <f t="shared" ref="X90:X95" si="57">F90*0.01*13</f>
        <v>133.25</v>
      </c>
      <c r="Y90" s="307">
        <f>X90/13</f>
        <v>10.25</v>
      </c>
      <c r="Z90" s="325"/>
      <c r="AA90" s="325"/>
      <c r="AB90" s="324"/>
      <c r="AC90" s="325"/>
      <c r="AD90" s="324"/>
      <c r="AE90" s="307"/>
      <c r="AF90" s="325"/>
      <c r="AG90" s="325"/>
      <c r="AH90" s="325"/>
      <c r="AI90" s="325"/>
      <c r="AJ90" s="324"/>
    </row>
    <row r="91" spans="1:36" ht="37.5">
      <c r="A91" s="21">
        <f>A90+1</f>
        <v>63</v>
      </c>
      <c r="B91" s="147" t="s">
        <v>645</v>
      </c>
      <c r="C91" s="140" t="s">
        <v>395</v>
      </c>
      <c r="D91" s="156" t="s">
        <v>79</v>
      </c>
      <c r="E91" s="331" t="s">
        <v>47</v>
      </c>
      <c r="F91" s="315">
        <v>700</v>
      </c>
      <c r="G91" s="316">
        <f>F91*12</f>
        <v>8400</v>
      </c>
      <c r="H91" s="316">
        <v>60</v>
      </c>
      <c r="I91" s="323"/>
      <c r="J91" s="316">
        <f t="shared" si="55"/>
        <v>700</v>
      </c>
      <c r="K91" s="316">
        <v>300</v>
      </c>
      <c r="L91" s="324"/>
      <c r="M91" s="307">
        <v>125</v>
      </c>
      <c r="N91" s="307">
        <f t="shared" si="56"/>
        <v>705.25</v>
      </c>
      <c r="O91" s="321"/>
      <c r="P91" s="307">
        <f>N91/13</f>
        <v>54.25</v>
      </c>
      <c r="Q91" s="307"/>
      <c r="R91" s="307"/>
      <c r="S91" s="307">
        <f>F91*0.075*13</f>
        <v>682.5</v>
      </c>
      <c r="T91" s="307">
        <f>S91/13</f>
        <v>52.5</v>
      </c>
      <c r="U91" s="307"/>
      <c r="V91" s="307"/>
      <c r="W91" s="307">
        <f>N91+Q91+S91+U91</f>
        <v>1387.75</v>
      </c>
      <c r="X91" s="307">
        <f t="shared" si="57"/>
        <v>91</v>
      </c>
      <c r="Y91" s="307">
        <f>X91/13</f>
        <v>7</v>
      </c>
      <c r="Z91" s="325"/>
      <c r="AA91" s="325"/>
      <c r="AB91" s="324"/>
      <c r="AC91" s="325"/>
      <c r="AD91" s="324"/>
      <c r="AE91" s="307"/>
      <c r="AF91" s="325"/>
      <c r="AG91" s="325"/>
      <c r="AH91" s="325"/>
      <c r="AI91" s="325"/>
      <c r="AJ91" s="324"/>
    </row>
    <row r="92" spans="1:36" ht="37.5">
      <c r="A92" s="21">
        <f>A91+1</f>
        <v>64</v>
      </c>
      <c r="B92" s="147" t="s">
        <v>135</v>
      </c>
      <c r="C92" s="140" t="s">
        <v>395</v>
      </c>
      <c r="D92" s="156" t="s">
        <v>79</v>
      </c>
      <c r="E92" s="331" t="s">
        <v>47</v>
      </c>
      <c r="F92" s="315">
        <v>500</v>
      </c>
      <c r="G92" s="316">
        <f>F92*12</f>
        <v>6000</v>
      </c>
      <c r="H92" s="316">
        <v>60</v>
      </c>
      <c r="I92" s="323"/>
      <c r="J92" s="316">
        <f t="shared" si="55"/>
        <v>500</v>
      </c>
      <c r="K92" s="316">
        <v>300</v>
      </c>
      <c r="L92" s="324"/>
      <c r="M92" s="307">
        <v>125</v>
      </c>
      <c r="N92" s="307">
        <f t="shared" si="56"/>
        <v>503.75</v>
      </c>
      <c r="O92" s="307">
        <f>N92/13</f>
        <v>38.75</v>
      </c>
      <c r="P92" s="307"/>
      <c r="Q92" s="307"/>
      <c r="R92" s="307"/>
      <c r="S92" s="307">
        <f>F92*0.075*13</f>
        <v>487.5</v>
      </c>
      <c r="T92" s="307">
        <f>S92/13</f>
        <v>37.5</v>
      </c>
      <c r="U92" s="307"/>
      <c r="V92" s="307"/>
      <c r="W92" s="307">
        <f>N92+Q92+S92+U92</f>
        <v>991.25</v>
      </c>
      <c r="X92" s="307">
        <f t="shared" si="57"/>
        <v>65</v>
      </c>
      <c r="Y92" s="307">
        <f>X92/13</f>
        <v>5</v>
      </c>
      <c r="Z92" s="325"/>
      <c r="AA92" s="325"/>
      <c r="AB92" s="324"/>
      <c r="AC92" s="325"/>
      <c r="AD92" s="324"/>
      <c r="AE92" s="307"/>
      <c r="AF92" s="325"/>
      <c r="AG92" s="325"/>
      <c r="AH92" s="325"/>
      <c r="AI92" s="325"/>
      <c r="AJ92" s="324"/>
    </row>
    <row r="93" spans="1:36" ht="37.5">
      <c r="A93" s="21">
        <f>A92+1</f>
        <v>65</v>
      </c>
      <c r="B93" s="178" t="s">
        <v>137</v>
      </c>
      <c r="C93" s="140" t="s">
        <v>395</v>
      </c>
      <c r="D93" s="156" t="s">
        <v>759</v>
      </c>
      <c r="E93" s="331" t="s">
        <v>47</v>
      </c>
      <c r="F93" s="315">
        <v>417</v>
      </c>
      <c r="G93" s="316">
        <f>F93*12</f>
        <v>5004</v>
      </c>
      <c r="H93" s="316">
        <v>60</v>
      </c>
      <c r="I93" s="323"/>
      <c r="J93" s="316">
        <f t="shared" si="55"/>
        <v>417</v>
      </c>
      <c r="K93" s="316">
        <v>300</v>
      </c>
      <c r="L93" s="324"/>
      <c r="M93" s="307"/>
      <c r="N93" s="307">
        <f t="shared" si="56"/>
        <v>420.12750000000005</v>
      </c>
      <c r="O93" s="307">
        <f>N93/13</f>
        <v>32.317500000000003</v>
      </c>
      <c r="P93" s="307"/>
      <c r="Q93" s="307"/>
      <c r="R93" s="307"/>
      <c r="S93" s="307">
        <f>F93*0.075*13</f>
        <v>406.57499999999999</v>
      </c>
      <c r="T93" s="307">
        <f>S93/13</f>
        <v>31.274999999999999</v>
      </c>
      <c r="U93" s="307"/>
      <c r="V93" s="307"/>
      <c r="W93" s="307">
        <f t="shared" ref="W93:W95" si="58">N93+Q93+S93+U93+0.01</f>
        <v>826.71250000000009</v>
      </c>
      <c r="X93" s="307">
        <f t="shared" si="57"/>
        <v>54.21</v>
      </c>
      <c r="Y93" s="307">
        <f>X93/13</f>
        <v>4.17</v>
      </c>
      <c r="Z93" s="325"/>
      <c r="AA93" s="325"/>
      <c r="AB93" s="324"/>
      <c r="AC93" s="307"/>
      <c r="AD93" s="324"/>
      <c r="AE93" s="307"/>
      <c r="AF93" s="325"/>
      <c r="AG93" s="325"/>
      <c r="AH93" s="325"/>
      <c r="AI93" s="325"/>
      <c r="AJ93" s="324"/>
    </row>
    <row r="94" spans="1:36" ht="37.5">
      <c r="A94" s="21">
        <f t="shared" ref="A94:A95" si="59">A93+1</f>
        <v>66</v>
      </c>
      <c r="B94" s="171" t="s">
        <v>137</v>
      </c>
      <c r="C94" s="140" t="s">
        <v>395</v>
      </c>
      <c r="D94" s="156" t="s">
        <v>759</v>
      </c>
      <c r="E94" s="331" t="s">
        <v>47</v>
      </c>
      <c r="F94" s="315">
        <v>417</v>
      </c>
      <c r="G94" s="316">
        <f t="shared" ref="G94:G95" si="60">F94*12</f>
        <v>5004</v>
      </c>
      <c r="H94" s="316">
        <v>60</v>
      </c>
      <c r="I94" s="323"/>
      <c r="J94" s="316">
        <f t="shared" si="55"/>
        <v>417</v>
      </c>
      <c r="K94" s="316">
        <v>300</v>
      </c>
      <c r="L94" s="324"/>
      <c r="M94" s="307"/>
      <c r="N94" s="307">
        <f t="shared" si="56"/>
        <v>420.12750000000005</v>
      </c>
      <c r="O94" s="307">
        <f t="shared" ref="O94" si="61">N94/13</f>
        <v>32.317500000000003</v>
      </c>
      <c r="P94" s="307"/>
      <c r="Q94" s="307"/>
      <c r="R94" s="307"/>
      <c r="S94" s="307">
        <f>F94*0.075*13</f>
        <v>406.57499999999999</v>
      </c>
      <c r="T94" s="307">
        <f t="shared" ref="T94:T95" si="62">S94/13</f>
        <v>31.274999999999999</v>
      </c>
      <c r="U94" s="307"/>
      <c r="V94" s="307"/>
      <c r="W94" s="307">
        <f t="shared" si="58"/>
        <v>826.71250000000009</v>
      </c>
      <c r="X94" s="307">
        <f t="shared" si="57"/>
        <v>54.21</v>
      </c>
      <c r="Y94" s="307">
        <f t="shared" ref="Y94:Y95" si="63">X94/13</f>
        <v>4.17</v>
      </c>
      <c r="Z94" s="325"/>
      <c r="AA94" s="325"/>
      <c r="AB94" s="324"/>
      <c r="AC94" s="307"/>
      <c r="AD94" s="324"/>
      <c r="AE94" s="307"/>
      <c r="AF94" s="325"/>
      <c r="AG94" s="325"/>
      <c r="AH94" s="325"/>
      <c r="AI94" s="325"/>
      <c r="AJ94" s="324"/>
    </row>
    <row r="95" spans="1:36" ht="37.5">
      <c r="A95" s="21">
        <f t="shared" si="59"/>
        <v>67</v>
      </c>
      <c r="B95" s="179" t="s">
        <v>137</v>
      </c>
      <c r="C95" s="140" t="s">
        <v>395</v>
      </c>
      <c r="D95" s="156" t="s">
        <v>759</v>
      </c>
      <c r="E95" s="331" t="s">
        <v>47</v>
      </c>
      <c r="F95" s="315">
        <v>417</v>
      </c>
      <c r="G95" s="316">
        <f t="shared" si="60"/>
        <v>5004</v>
      </c>
      <c r="H95" s="316">
        <v>60</v>
      </c>
      <c r="I95" s="323"/>
      <c r="J95" s="316">
        <f t="shared" si="55"/>
        <v>417</v>
      </c>
      <c r="K95" s="316">
        <v>300</v>
      </c>
      <c r="L95" s="324"/>
      <c r="M95" s="307"/>
      <c r="N95" s="307">
        <f t="shared" si="56"/>
        <v>420.12750000000005</v>
      </c>
      <c r="O95" s="307"/>
      <c r="P95" s="307">
        <f>N95/13</f>
        <v>32.317500000000003</v>
      </c>
      <c r="Q95" s="307"/>
      <c r="R95" s="307"/>
      <c r="S95" s="307">
        <f>F95*0.075*13</f>
        <v>406.57499999999999</v>
      </c>
      <c r="T95" s="307">
        <f t="shared" si="62"/>
        <v>31.274999999999999</v>
      </c>
      <c r="U95" s="307"/>
      <c r="V95" s="307"/>
      <c r="W95" s="307">
        <f t="shared" si="58"/>
        <v>826.71250000000009</v>
      </c>
      <c r="X95" s="307">
        <f t="shared" si="57"/>
        <v>54.21</v>
      </c>
      <c r="Y95" s="307">
        <f t="shared" si="63"/>
        <v>4.17</v>
      </c>
      <c r="Z95" s="325"/>
      <c r="AA95" s="325"/>
      <c r="AB95" s="324"/>
      <c r="AC95" s="307"/>
      <c r="AD95" s="324"/>
      <c r="AE95" s="307"/>
      <c r="AF95" s="325"/>
      <c r="AG95" s="325"/>
      <c r="AH95" s="325"/>
      <c r="AI95" s="325"/>
      <c r="AJ95" s="324"/>
    </row>
    <row r="96" spans="1:36">
      <c r="A96" s="21"/>
      <c r="B96" s="138" t="s">
        <v>405</v>
      </c>
      <c r="C96" s="141"/>
      <c r="D96" s="313"/>
      <c r="E96" s="314"/>
      <c r="F96" s="319">
        <f t="shared" ref="F96:K96" si="64">SUM(F90:F95)</f>
        <v>3476</v>
      </c>
      <c r="G96" s="320">
        <f t="shared" si="64"/>
        <v>41712</v>
      </c>
      <c r="H96" s="320">
        <f t="shared" si="64"/>
        <v>360</v>
      </c>
      <c r="I96" s="320">
        <f t="shared" si="64"/>
        <v>5000</v>
      </c>
      <c r="J96" s="320">
        <f t="shared" si="64"/>
        <v>3476</v>
      </c>
      <c r="K96" s="320">
        <f t="shared" si="64"/>
        <v>1800</v>
      </c>
      <c r="L96" s="312"/>
      <c r="M96" s="312">
        <f>SUM(M90:M95)</f>
        <v>250</v>
      </c>
      <c r="N96" s="312">
        <f>SUM(N90:N95)+0.01</f>
        <v>3502.0800000000004</v>
      </c>
      <c r="O96" s="312">
        <f>SUM(O90:O95)</f>
        <v>103.38499999999999</v>
      </c>
      <c r="P96" s="312">
        <f>SUM(P90:P95)</f>
        <v>166.005</v>
      </c>
      <c r="Q96" s="312">
        <f>SUM(Q90:Q95)</f>
        <v>0</v>
      </c>
      <c r="R96" s="312">
        <f>SUM(R90:R95)</f>
        <v>0</v>
      </c>
      <c r="S96" s="312">
        <f>SUM(S90:S95)+0.01</f>
        <v>3364.7349999999997</v>
      </c>
      <c r="T96" s="312">
        <f>SUM(T90:T95)+0.01</f>
        <v>258.83499999999998</v>
      </c>
      <c r="U96" s="312">
        <f>SUM(U90:V95)</f>
        <v>0</v>
      </c>
      <c r="V96" s="312">
        <f>SUM(V90:V95)</f>
        <v>0</v>
      </c>
      <c r="W96" s="312">
        <f>SUM(W90:W95)-0.01</f>
        <v>6866.8149999999987</v>
      </c>
      <c r="X96" s="312">
        <f>SUM(X90:X95)</f>
        <v>451.87999999999994</v>
      </c>
      <c r="Y96" s="312">
        <f>SUM(Y90:Y95)</f>
        <v>34.760000000000005</v>
      </c>
      <c r="Z96" s="312"/>
      <c r="AA96" s="312"/>
      <c r="AB96" s="312"/>
      <c r="AC96" s="312"/>
      <c r="AD96" s="312"/>
      <c r="AE96" s="312"/>
      <c r="AF96" s="312"/>
      <c r="AG96" s="312"/>
      <c r="AH96" s="312"/>
      <c r="AI96" s="312"/>
      <c r="AJ96" s="312"/>
    </row>
    <row r="97" spans="1:36" ht="24.75" customHeight="1">
      <c r="A97" s="21">
        <f>A95+1</f>
        <v>68</v>
      </c>
      <c r="B97" s="147" t="s">
        <v>198</v>
      </c>
      <c r="C97" s="107" t="s">
        <v>199</v>
      </c>
      <c r="D97" s="313" t="s">
        <v>79</v>
      </c>
      <c r="E97" s="314" t="s">
        <v>47</v>
      </c>
      <c r="F97" s="315">
        <v>800</v>
      </c>
      <c r="G97" s="316">
        <f>F97*12</f>
        <v>9600</v>
      </c>
      <c r="H97" s="316">
        <v>60</v>
      </c>
      <c r="I97" s="323"/>
      <c r="J97" s="316">
        <f>F97</f>
        <v>800</v>
      </c>
      <c r="K97" s="316">
        <v>300</v>
      </c>
      <c r="L97" s="324"/>
      <c r="M97" s="307">
        <v>125</v>
      </c>
      <c r="N97" s="307">
        <f>F97*0.0775*13</f>
        <v>806</v>
      </c>
      <c r="O97" s="307">
        <f>N97/13</f>
        <v>62</v>
      </c>
      <c r="P97" s="307"/>
      <c r="Q97" s="307"/>
      <c r="R97" s="307"/>
      <c r="S97" s="307">
        <f>F97*0.075*13</f>
        <v>780</v>
      </c>
      <c r="T97" s="307">
        <f t="shared" ref="T97" si="65">S97/13</f>
        <v>60</v>
      </c>
      <c r="U97" s="307"/>
      <c r="V97" s="307"/>
      <c r="W97" s="307">
        <f>N97+Q97+S97+U97+0.01</f>
        <v>1586.01</v>
      </c>
      <c r="X97" s="307">
        <f>F97*0.01*13</f>
        <v>104</v>
      </c>
      <c r="Y97" s="307">
        <f>X97/13</f>
        <v>8</v>
      </c>
      <c r="Z97" s="325"/>
      <c r="AA97" s="325"/>
      <c r="AB97" s="324"/>
      <c r="AC97" s="325"/>
      <c r="AD97" s="324"/>
      <c r="AE97" s="307"/>
      <c r="AF97" s="325"/>
      <c r="AG97" s="325"/>
      <c r="AH97" s="325"/>
      <c r="AI97" s="325"/>
      <c r="AJ97" s="324"/>
    </row>
    <row r="98" spans="1:36" ht="24.75" customHeight="1">
      <c r="A98" s="21">
        <f>A97+1</f>
        <v>69</v>
      </c>
      <c r="B98" s="161" t="s">
        <v>201</v>
      </c>
      <c r="C98" s="107" t="s">
        <v>199</v>
      </c>
      <c r="D98" s="313" t="s">
        <v>79</v>
      </c>
      <c r="E98" s="314" t="s">
        <v>47</v>
      </c>
      <c r="F98" s="315">
        <f>567+30+50+50</f>
        <v>697</v>
      </c>
      <c r="G98" s="316">
        <f>F98*12</f>
        <v>8364</v>
      </c>
      <c r="H98" s="316">
        <v>60</v>
      </c>
      <c r="I98" s="323"/>
      <c r="J98" s="316">
        <f>F98</f>
        <v>697</v>
      </c>
      <c r="K98" s="316">
        <v>300</v>
      </c>
      <c r="L98" s="307"/>
      <c r="M98" s="307">
        <v>125</v>
      </c>
      <c r="N98" s="307"/>
      <c r="O98" s="332"/>
      <c r="P98" s="307"/>
      <c r="Q98" s="324"/>
      <c r="R98" s="324"/>
      <c r="S98" s="307">
        <f>F98*0.075*13</f>
        <v>679.57499999999993</v>
      </c>
      <c r="T98" s="307">
        <f>S98/13</f>
        <v>52.274999999999991</v>
      </c>
      <c r="U98" s="307">
        <f>F98*0.06*13</f>
        <v>543.66</v>
      </c>
      <c r="V98" s="307">
        <v>34.020000000000003</v>
      </c>
      <c r="W98" s="307">
        <f>N98+Q98+S98+U98</f>
        <v>1223.2349999999999</v>
      </c>
      <c r="X98" s="307">
        <f>F98*0.01*13</f>
        <v>90.61</v>
      </c>
      <c r="Y98" s="307">
        <f>X98/13</f>
        <v>6.97</v>
      </c>
      <c r="Z98" s="324"/>
      <c r="AA98" s="324"/>
      <c r="AB98" s="324"/>
      <c r="AC98" s="324"/>
      <c r="AD98" s="324"/>
      <c r="AE98" s="307"/>
      <c r="AF98" s="324"/>
      <c r="AG98" s="324"/>
      <c r="AH98" s="324"/>
      <c r="AI98" s="324"/>
      <c r="AJ98" s="324"/>
    </row>
    <row r="99" spans="1:36" ht="24.75" customHeight="1">
      <c r="A99" s="21">
        <f t="shared" ref="A99:A100" si="66">A98+1</f>
        <v>70</v>
      </c>
      <c r="B99" s="161" t="s">
        <v>123</v>
      </c>
      <c r="C99" s="107" t="s">
        <v>199</v>
      </c>
      <c r="D99" s="313" t="s">
        <v>79</v>
      </c>
      <c r="E99" s="314" t="s">
        <v>47</v>
      </c>
      <c r="F99" s="315">
        <f>567+30+50+50</f>
        <v>697</v>
      </c>
      <c r="G99" s="316">
        <f>F99*12</f>
        <v>8364</v>
      </c>
      <c r="H99" s="316">
        <v>60</v>
      </c>
      <c r="I99" s="316"/>
      <c r="J99" s="316">
        <f>F99</f>
        <v>697</v>
      </c>
      <c r="K99" s="316">
        <v>300</v>
      </c>
      <c r="L99" s="307"/>
      <c r="M99" s="307">
        <v>125</v>
      </c>
      <c r="N99" s="307">
        <f>F99*0.0775*13</f>
        <v>702.22749999999996</v>
      </c>
      <c r="O99" s="307">
        <f>N99/13</f>
        <v>54.017499999999998</v>
      </c>
      <c r="P99" s="307"/>
      <c r="Q99" s="324"/>
      <c r="R99" s="324"/>
      <c r="S99" s="307">
        <f>F99*0.075*13</f>
        <v>679.57499999999993</v>
      </c>
      <c r="T99" s="307">
        <f>S99/13</f>
        <v>52.274999999999991</v>
      </c>
      <c r="U99" s="324"/>
      <c r="V99" s="324"/>
      <c r="W99" s="307">
        <f>N99+Q99+S99+U99</f>
        <v>1381.8024999999998</v>
      </c>
      <c r="X99" s="307">
        <f>F99*0.01*13</f>
        <v>90.61</v>
      </c>
      <c r="Y99" s="307">
        <f>X99/13</f>
        <v>6.97</v>
      </c>
      <c r="Z99" s="324"/>
      <c r="AA99" s="324"/>
      <c r="AB99" s="324"/>
      <c r="AC99" s="324"/>
      <c r="AD99" s="324"/>
      <c r="AE99" s="307"/>
      <c r="AF99" s="324"/>
      <c r="AG99" s="324"/>
      <c r="AH99" s="324"/>
      <c r="AI99" s="324"/>
      <c r="AJ99" s="324"/>
    </row>
    <row r="100" spans="1:36" ht="24.75" customHeight="1">
      <c r="A100" s="21">
        <f t="shared" si="66"/>
        <v>71</v>
      </c>
      <c r="B100" s="161" t="s">
        <v>123</v>
      </c>
      <c r="C100" s="107" t="s">
        <v>199</v>
      </c>
      <c r="D100" s="313" t="s">
        <v>79</v>
      </c>
      <c r="E100" s="314" t="s">
        <v>47</v>
      </c>
      <c r="F100" s="315">
        <f>567+30+50+50</f>
        <v>697</v>
      </c>
      <c r="G100" s="316">
        <f>F100*12</f>
        <v>8364</v>
      </c>
      <c r="H100" s="316">
        <v>60</v>
      </c>
      <c r="I100" s="323"/>
      <c r="J100" s="316">
        <f>F100</f>
        <v>697</v>
      </c>
      <c r="K100" s="316">
        <v>300</v>
      </c>
      <c r="L100" s="307"/>
      <c r="M100" s="307"/>
      <c r="N100" s="307">
        <f>F100*0.0775*13</f>
        <v>702.22749999999996</v>
      </c>
      <c r="O100" s="321"/>
      <c r="P100" s="307">
        <f>N100/13</f>
        <v>54.017499999999998</v>
      </c>
      <c r="Q100" s="324"/>
      <c r="R100" s="324"/>
      <c r="S100" s="307">
        <f>F100*0.075*13</f>
        <v>679.57499999999993</v>
      </c>
      <c r="T100" s="307">
        <f>S100/13</f>
        <v>52.274999999999991</v>
      </c>
      <c r="U100" s="324"/>
      <c r="V100" s="324"/>
      <c r="W100" s="307">
        <f>N100+Q100+S100+U100</f>
        <v>1381.8024999999998</v>
      </c>
      <c r="X100" s="307">
        <f>F100*0.01*13</f>
        <v>90.61</v>
      </c>
      <c r="Y100" s="307">
        <f>X100/13</f>
        <v>6.97</v>
      </c>
      <c r="Z100" s="325"/>
      <c r="AA100" s="325"/>
      <c r="AB100" s="324"/>
      <c r="AC100" s="325"/>
      <c r="AD100" s="324"/>
      <c r="AE100" s="307"/>
      <c r="AF100" s="325"/>
      <c r="AG100" s="325"/>
      <c r="AH100" s="325"/>
      <c r="AI100" s="325"/>
      <c r="AJ100" s="324"/>
    </row>
    <row r="101" spans="1:36">
      <c r="A101" s="49"/>
      <c r="B101" s="138" t="s">
        <v>204</v>
      </c>
      <c r="C101" s="141"/>
      <c r="D101" s="313"/>
      <c r="E101" s="314"/>
      <c r="F101" s="319">
        <f>SUM(F97:F100)</f>
        <v>2891</v>
      </c>
      <c r="G101" s="320">
        <f t="shared" ref="G101:AF101" si="67">SUM(G97:G100)</f>
        <v>34692</v>
      </c>
      <c r="H101" s="320">
        <f t="shared" si="67"/>
        <v>240</v>
      </c>
      <c r="I101" s="320">
        <f t="shared" si="67"/>
        <v>0</v>
      </c>
      <c r="J101" s="320">
        <f t="shared" si="67"/>
        <v>2891</v>
      </c>
      <c r="K101" s="320">
        <f t="shared" si="67"/>
        <v>1200</v>
      </c>
      <c r="L101" s="320">
        <f t="shared" si="67"/>
        <v>0</v>
      </c>
      <c r="M101" s="320">
        <f t="shared" si="67"/>
        <v>375</v>
      </c>
      <c r="N101" s="320">
        <f>SUM(N97:N100)</f>
        <v>2210.4549999999999</v>
      </c>
      <c r="O101" s="320">
        <f t="shared" si="67"/>
        <v>116.0175</v>
      </c>
      <c r="P101" s="320">
        <f t="shared" si="67"/>
        <v>54.017499999999998</v>
      </c>
      <c r="Q101" s="320">
        <f t="shared" si="67"/>
        <v>0</v>
      </c>
      <c r="R101" s="320">
        <f t="shared" si="67"/>
        <v>0</v>
      </c>
      <c r="S101" s="320">
        <f>SUM(S97:S100)+0.01</f>
        <v>2818.7349999999997</v>
      </c>
      <c r="T101" s="320">
        <f>SUM(T97:T100)+0.01</f>
        <v>216.83499999999998</v>
      </c>
      <c r="U101" s="320">
        <f t="shared" si="67"/>
        <v>543.66</v>
      </c>
      <c r="V101" s="320">
        <f t="shared" si="67"/>
        <v>34.020000000000003</v>
      </c>
      <c r="W101" s="320">
        <f>SUM(W97:W100)+0.01</f>
        <v>5572.86</v>
      </c>
      <c r="X101" s="320">
        <f t="shared" si="67"/>
        <v>375.83000000000004</v>
      </c>
      <c r="Y101" s="320">
        <f t="shared" si="67"/>
        <v>28.909999999999997</v>
      </c>
      <c r="Z101" s="320">
        <f t="shared" si="67"/>
        <v>0</v>
      </c>
      <c r="AA101" s="320">
        <f t="shared" si="67"/>
        <v>0</v>
      </c>
      <c r="AB101" s="320">
        <f t="shared" si="67"/>
        <v>0</v>
      </c>
      <c r="AC101" s="320">
        <f t="shared" si="67"/>
        <v>0</v>
      </c>
      <c r="AD101" s="320">
        <f t="shared" si="67"/>
        <v>0</v>
      </c>
      <c r="AE101" s="320">
        <f t="shared" si="67"/>
        <v>0</v>
      </c>
      <c r="AF101" s="320">
        <f t="shared" si="67"/>
        <v>0</v>
      </c>
      <c r="AG101" s="320"/>
      <c r="AH101" s="320"/>
      <c r="AI101" s="320"/>
      <c r="AJ101" s="320"/>
    </row>
    <row r="102" spans="1:36" ht="37.5" customHeight="1">
      <c r="A102" s="21">
        <f>A100+1</f>
        <v>72</v>
      </c>
      <c r="B102" s="163" t="s">
        <v>768</v>
      </c>
      <c r="C102" s="107" t="s">
        <v>116</v>
      </c>
      <c r="D102" s="313" t="s">
        <v>79</v>
      </c>
      <c r="E102" s="314" t="s">
        <v>47</v>
      </c>
      <c r="F102" s="315">
        <v>700</v>
      </c>
      <c r="G102" s="316">
        <f>F102*12</f>
        <v>8400</v>
      </c>
      <c r="H102" s="316">
        <v>60</v>
      </c>
      <c r="I102" s="316"/>
      <c r="J102" s="316">
        <f>F102</f>
        <v>700</v>
      </c>
      <c r="K102" s="316">
        <v>300</v>
      </c>
      <c r="L102" s="307"/>
      <c r="M102" s="307">
        <v>125</v>
      </c>
      <c r="N102" s="307">
        <f>F102*0.0775*13</f>
        <v>705.25</v>
      </c>
      <c r="O102" s="307">
        <f>N102/13</f>
        <v>54.25</v>
      </c>
      <c r="P102" s="307"/>
      <c r="Q102" s="307"/>
      <c r="R102" s="307"/>
      <c r="S102" s="307">
        <f>F102*0.075*13</f>
        <v>682.5</v>
      </c>
      <c r="T102" s="307">
        <f>S102/13</f>
        <v>52.5</v>
      </c>
      <c r="U102" s="307"/>
      <c r="V102" s="307"/>
      <c r="W102" s="307">
        <f>N102+Q102+S102+U102</f>
        <v>1387.75</v>
      </c>
      <c r="X102" s="307">
        <f>F102*0.01*13</f>
        <v>91</v>
      </c>
      <c r="Y102" s="307">
        <f>X102/13</f>
        <v>7</v>
      </c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  <c r="AJ102" s="307"/>
    </row>
    <row r="103" spans="1:36" ht="37.5" customHeight="1">
      <c r="A103" s="21">
        <f>A102+1</f>
        <v>73</v>
      </c>
      <c r="B103" s="164" t="s">
        <v>91</v>
      </c>
      <c r="C103" s="107" t="s">
        <v>116</v>
      </c>
      <c r="D103" s="313" t="s">
        <v>759</v>
      </c>
      <c r="E103" s="314" t="s">
        <v>47</v>
      </c>
      <c r="F103" s="315">
        <v>417</v>
      </c>
      <c r="G103" s="316">
        <f>F103*12</f>
        <v>5004</v>
      </c>
      <c r="H103" s="316">
        <v>60</v>
      </c>
      <c r="I103" s="316"/>
      <c r="J103" s="316">
        <f>F103</f>
        <v>417</v>
      </c>
      <c r="K103" s="316">
        <v>300</v>
      </c>
      <c r="L103" s="307"/>
      <c r="M103" s="307"/>
      <c r="N103" s="307">
        <f>F103*0.0775*13</f>
        <v>420.12750000000005</v>
      </c>
      <c r="O103" s="307">
        <f>N103/13</f>
        <v>32.317500000000003</v>
      </c>
      <c r="P103" s="307"/>
      <c r="Q103" s="307"/>
      <c r="R103" s="307"/>
      <c r="S103" s="307">
        <f>F103*0.075*13</f>
        <v>406.57499999999999</v>
      </c>
      <c r="T103" s="307">
        <f>S103/13</f>
        <v>31.274999999999999</v>
      </c>
      <c r="U103" s="307"/>
      <c r="V103" s="307"/>
      <c r="W103" s="307">
        <f>N103+Q103+S103+U103+0.01</f>
        <v>826.71250000000009</v>
      </c>
      <c r="X103" s="307">
        <f>F103*0.01*13</f>
        <v>54.21</v>
      </c>
      <c r="Y103" s="307">
        <f>X103/13</f>
        <v>4.17</v>
      </c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</row>
    <row r="104" spans="1:36">
      <c r="A104" s="41"/>
      <c r="B104" s="469" t="s">
        <v>118</v>
      </c>
      <c r="C104" s="470"/>
      <c r="D104" s="313"/>
      <c r="E104" s="314"/>
      <c r="F104" s="319">
        <f>SUM(F102:F103)</f>
        <v>1117</v>
      </c>
      <c r="G104" s="320">
        <f t="shared" ref="G104:I104" si="68">SUM(G102:G103)</f>
        <v>13404</v>
      </c>
      <c r="H104" s="320">
        <f t="shared" si="68"/>
        <v>120</v>
      </c>
      <c r="I104" s="320">
        <f t="shared" si="68"/>
        <v>0</v>
      </c>
      <c r="J104" s="320">
        <f>SUM(J102:J103)</f>
        <v>1117</v>
      </c>
      <c r="K104" s="320">
        <f>SUM(K102:K103)</f>
        <v>600</v>
      </c>
      <c r="L104" s="324"/>
      <c r="M104" s="320">
        <f>SUM(M102:M103)</f>
        <v>125</v>
      </c>
      <c r="N104" s="320">
        <f t="shared" ref="N104:O104" si="69">SUM(N102:N103)</f>
        <v>1125.3775000000001</v>
      </c>
      <c r="O104" s="320">
        <f t="shared" si="69"/>
        <v>86.567499999999995</v>
      </c>
      <c r="P104" s="312"/>
      <c r="Q104" s="307">
        <f>SUM(Q102)</f>
        <v>0</v>
      </c>
      <c r="R104" s="307">
        <f>SUM(R102)</f>
        <v>0</v>
      </c>
      <c r="S104" s="320">
        <f>SUM(S102:S103)</f>
        <v>1089.075</v>
      </c>
      <c r="T104" s="320">
        <f>SUM(T102:T103)</f>
        <v>83.775000000000006</v>
      </c>
      <c r="U104" s="307"/>
      <c r="V104" s="307"/>
      <c r="W104" s="320">
        <f t="shared" ref="W104:Y104" si="70">SUM(W102:W103)</f>
        <v>2214.4625000000001</v>
      </c>
      <c r="X104" s="320">
        <f t="shared" si="70"/>
        <v>145.21</v>
      </c>
      <c r="Y104" s="320">
        <f t="shared" si="70"/>
        <v>11.17</v>
      </c>
      <c r="Z104" s="325"/>
      <c r="AA104" s="325"/>
      <c r="AB104" s="324"/>
      <c r="AC104" s="325"/>
      <c r="AD104" s="324"/>
      <c r="AE104" s="307"/>
      <c r="AF104" s="325"/>
      <c r="AG104" s="325"/>
      <c r="AH104" s="325"/>
      <c r="AI104" s="325"/>
      <c r="AJ104" s="324"/>
    </row>
    <row r="105" spans="1:36" ht="20.25" customHeight="1">
      <c r="A105" s="21">
        <f>A103+1</f>
        <v>74</v>
      </c>
      <c r="B105" s="163" t="s">
        <v>726</v>
      </c>
      <c r="C105" s="140" t="s">
        <v>723</v>
      </c>
      <c r="D105" s="313" t="s">
        <v>79</v>
      </c>
      <c r="E105" s="314" t="s">
        <v>47</v>
      </c>
      <c r="F105" s="315">
        <v>1900</v>
      </c>
      <c r="G105" s="316">
        <f>F105*12</f>
        <v>22800</v>
      </c>
      <c r="H105" s="316">
        <v>60</v>
      </c>
      <c r="I105" s="316"/>
      <c r="J105" s="316">
        <f>F105</f>
        <v>1900</v>
      </c>
      <c r="K105" s="316">
        <v>300</v>
      </c>
      <c r="L105" s="307">
        <v>1900</v>
      </c>
      <c r="M105" s="307"/>
      <c r="N105" s="307">
        <f>F105*0.0775*13</f>
        <v>1914.25</v>
      </c>
      <c r="O105" s="307">
        <f>N105/13</f>
        <v>147.25</v>
      </c>
      <c r="P105" s="307"/>
      <c r="Q105" s="307"/>
      <c r="R105" s="307"/>
      <c r="S105" s="307">
        <f>75*13</f>
        <v>975</v>
      </c>
      <c r="T105" s="307">
        <f>S105/13</f>
        <v>75</v>
      </c>
      <c r="U105" s="307"/>
      <c r="V105" s="307"/>
      <c r="W105" s="307">
        <f>N105+Q105+S105+U105</f>
        <v>2889.25</v>
      </c>
      <c r="X105" s="307">
        <f>10*13</f>
        <v>130</v>
      </c>
      <c r="Y105" s="307">
        <f>X105/13</f>
        <v>10</v>
      </c>
      <c r="Z105" s="307">
        <f>F105/30/8*1.5*45</f>
        <v>534.375</v>
      </c>
      <c r="AA105" s="307">
        <f>Z105*0.0775</f>
        <v>41.4140625</v>
      </c>
      <c r="AB105" s="307"/>
      <c r="AC105" s="307">
        <f>Z105*0.075</f>
        <v>40.078125</v>
      </c>
      <c r="AD105" s="307"/>
      <c r="AE105" s="307">
        <f>AA105+AB105+AC105+AD105</f>
        <v>81.4921875</v>
      </c>
      <c r="AF105" s="307">
        <f>Z105*0.01</f>
        <v>5.34375</v>
      </c>
      <c r="AG105" s="307"/>
      <c r="AH105" s="307"/>
      <c r="AI105" s="307"/>
      <c r="AJ105" s="307"/>
    </row>
    <row r="106" spans="1:36" ht="20.25" customHeight="1">
      <c r="A106" s="21">
        <f>A105+1</f>
        <v>75</v>
      </c>
      <c r="B106" s="163" t="s">
        <v>162</v>
      </c>
      <c r="C106" s="140" t="s">
        <v>723</v>
      </c>
      <c r="D106" s="313" t="s">
        <v>79</v>
      </c>
      <c r="E106" s="314" t="s">
        <v>47</v>
      </c>
      <c r="F106" s="315">
        <f>945+30+50</f>
        <v>1025</v>
      </c>
      <c r="G106" s="316">
        <f>F106*12</f>
        <v>12300</v>
      </c>
      <c r="H106" s="316">
        <v>60</v>
      </c>
      <c r="I106" s="316"/>
      <c r="J106" s="316">
        <f>F106</f>
        <v>1025</v>
      </c>
      <c r="K106" s="316">
        <v>300</v>
      </c>
      <c r="L106" s="315"/>
      <c r="M106" s="315"/>
      <c r="N106" s="315">
        <f>F106*0.0775*13</f>
        <v>1032.6875</v>
      </c>
      <c r="O106" s="315">
        <f>N106/13</f>
        <v>79.4375</v>
      </c>
      <c r="P106" s="315"/>
      <c r="Q106" s="315"/>
      <c r="R106" s="315"/>
      <c r="S106" s="307">
        <f>75*13</f>
        <v>975</v>
      </c>
      <c r="T106" s="315">
        <f>S106/13</f>
        <v>75</v>
      </c>
      <c r="U106" s="315"/>
      <c r="V106" s="315"/>
      <c r="W106" s="315">
        <f>N106+Q106+S106+U106</f>
        <v>2007.6875</v>
      </c>
      <c r="X106" s="315">
        <f>F106*0.01*13</f>
        <v>133.25</v>
      </c>
      <c r="Y106" s="315">
        <f>X106/13</f>
        <v>10.25</v>
      </c>
      <c r="Z106" s="315"/>
      <c r="AA106" s="315"/>
      <c r="AB106" s="315"/>
      <c r="AC106" s="315"/>
      <c r="AD106" s="315"/>
      <c r="AE106" s="315"/>
      <c r="AF106" s="307"/>
      <c r="AG106" s="307"/>
      <c r="AH106" s="307"/>
      <c r="AI106" s="307"/>
      <c r="AJ106" s="307"/>
    </row>
    <row r="107" spans="1:36">
      <c r="A107" s="21"/>
      <c r="B107" s="138" t="s">
        <v>728</v>
      </c>
      <c r="C107" s="107"/>
      <c r="D107" s="313"/>
      <c r="E107" s="314"/>
      <c r="F107" s="319">
        <f>SUM(F105:F106)</f>
        <v>2925</v>
      </c>
      <c r="G107" s="319">
        <f>SUM(G105:G106)</f>
        <v>35100</v>
      </c>
      <c r="H107" s="319">
        <f t="shared" ref="H107:AJ107" si="71">SUM(H105:H106)</f>
        <v>120</v>
      </c>
      <c r="I107" s="319">
        <f t="shared" si="71"/>
        <v>0</v>
      </c>
      <c r="J107" s="319">
        <f t="shared" si="71"/>
        <v>2925</v>
      </c>
      <c r="K107" s="319">
        <f t="shared" si="71"/>
        <v>600</v>
      </c>
      <c r="L107" s="319">
        <f t="shared" si="71"/>
        <v>1900</v>
      </c>
      <c r="M107" s="319">
        <f t="shared" si="71"/>
        <v>0</v>
      </c>
      <c r="N107" s="319">
        <f t="shared" si="71"/>
        <v>2946.9375</v>
      </c>
      <c r="O107" s="319">
        <f t="shared" si="71"/>
        <v>226.6875</v>
      </c>
      <c r="P107" s="319">
        <f t="shared" si="71"/>
        <v>0</v>
      </c>
      <c r="Q107" s="319">
        <f t="shared" si="71"/>
        <v>0</v>
      </c>
      <c r="R107" s="319">
        <f t="shared" si="71"/>
        <v>0</v>
      </c>
      <c r="S107" s="319">
        <f t="shared" si="71"/>
        <v>1950</v>
      </c>
      <c r="T107" s="319">
        <f t="shared" si="71"/>
        <v>150</v>
      </c>
      <c r="U107" s="319">
        <f t="shared" si="71"/>
        <v>0</v>
      </c>
      <c r="V107" s="319">
        <f t="shared" si="71"/>
        <v>0</v>
      </c>
      <c r="W107" s="319">
        <f t="shared" si="71"/>
        <v>4896.9375</v>
      </c>
      <c r="X107" s="319">
        <f t="shared" si="71"/>
        <v>263.25</v>
      </c>
      <c r="Y107" s="319">
        <f t="shared" si="71"/>
        <v>20.25</v>
      </c>
      <c r="Z107" s="319">
        <f t="shared" si="71"/>
        <v>534.375</v>
      </c>
      <c r="AA107" s="319">
        <f t="shared" si="71"/>
        <v>41.4140625</v>
      </c>
      <c r="AB107" s="319">
        <f t="shared" si="71"/>
        <v>0</v>
      </c>
      <c r="AC107" s="319">
        <f t="shared" si="71"/>
        <v>40.078125</v>
      </c>
      <c r="AD107" s="319">
        <f t="shared" si="71"/>
        <v>0</v>
      </c>
      <c r="AE107" s="319">
        <f t="shared" si="71"/>
        <v>81.4921875</v>
      </c>
      <c r="AF107" s="319">
        <f t="shared" si="71"/>
        <v>5.34375</v>
      </c>
      <c r="AG107" s="319">
        <f t="shared" si="71"/>
        <v>0</v>
      </c>
      <c r="AH107" s="319">
        <f t="shared" si="71"/>
        <v>0</v>
      </c>
      <c r="AI107" s="319">
        <f t="shared" si="71"/>
        <v>0</v>
      </c>
      <c r="AJ107" s="319">
        <f t="shared" si="71"/>
        <v>0</v>
      </c>
    </row>
    <row r="108" spans="1:36" ht="38.25" customHeight="1">
      <c r="A108" s="21">
        <f>A106+1</f>
        <v>76</v>
      </c>
      <c r="B108" s="333" t="s">
        <v>767</v>
      </c>
      <c r="C108" s="22" t="s">
        <v>724</v>
      </c>
      <c r="D108" s="313" t="s">
        <v>762</v>
      </c>
      <c r="E108" s="314" t="s">
        <v>47</v>
      </c>
      <c r="F108" s="315">
        <v>2000</v>
      </c>
      <c r="G108" s="316">
        <f t="shared" ref="G108" si="72">F108*12</f>
        <v>24000</v>
      </c>
      <c r="H108" s="316">
        <v>60</v>
      </c>
      <c r="I108" s="316">
        <v>5000</v>
      </c>
      <c r="J108" s="316">
        <f>F108</f>
        <v>2000</v>
      </c>
      <c r="K108" s="316">
        <v>300</v>
      </c>
      <c r="L108" s="307"/>
      <c r="M108" s="307"/>
      <c r="N108" s="307">
        <f>F108*0.0775*13</f>
        <v>2015</v>
      </c>
      <c r="O108" s="307">
        <f>N108/13</f>
        <v>155</v>
      </c>
      <c r="P108" s="307"/>
      <c r="Q108" s="307"/>
      <c r="R108" s="307"/>
      <c r="S108" s="307">
        <v>975</v>
      </c>
      <c r="T108" s="307">
        <f t="shared" ref="T108" si="73">S108/13</f>
        <v>75</v>
      </c>
      <c r="U108" s="307"/>
      <c r="V108" s="307"/>
      <c r="W108" s="307">
        <f>N108+Q108+S108+U108</f>
        <v>2990</v>
      </c>
      <c r="X108" s="307">
        <v>130</v>
      </c>
      <c r="Y108" s="307">
        <f t="shared" ref="Y108" si="74">X108/13</f>
        <v>10</v>
      </c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  <c r="AJ108" s="307"/>
    </row>
    <row r="109" spans="1:36" ht="38.25" customHeight="1">
      <c r="A109" s="21">
        <f>A108+1</f>
        <v>77</v>
      </c>
      <c r="B109" s="333" t="s">
        <v>110</v>
      </c>
      <c r="C109" s="22" t="s">
        <v>724</v>
      </c>
      <c r="D109" s="313" t="s">
        <v>762</v>
      </c>
      <c r="E109" s="314" t="s">
        <v>47</v>
      </c>
      <c r="F109" s="315">
        <v>500</v>
      </c>
      <c r="G109" s="316">
        <f>F109*12</f>
        <v>6000</v>
      </c>
      <c r="H109" s="316">
        <v>60</v>
      </c>
      <c r="I109" s="323"/>
      <c r="J109" s="316">
        <f>F109</f>
        <v>500</v>
      </c>
      <c r="K109" s="316">
        <v>300</v>
      </c>
      <c r="L109" s="307"/>
      <c r="M109" s="307"/>
      <c r="N109" s="307">
        <f>F109*0.0775*13</f>
        <v>503.75</v>
      </c>
      <c r="O109" s="307">
        <f>N109/13</f>
        <v>38.75</v>
      </c>
      <c r="P109" s="307"/>
      <c r="Q109" s="324"/>
      <c r="R109" s="324"/>
      <c r="S109" s="307">
        <f>F109*0.075*13</f>
        <v>487.5</v>
      </c>
      <c r="T109" s="307">
        <f>S109/13</f>
        <v>37.5</v>
      </c>
      <c r="U109" s="324"/>
      <c r="V109" s="324"/>
      <c r="W109" s="307">
        <f>N109+Q109+S109+U109</f>
        <v>991.25</v>
      </c>
      <c r="X109" s="307">
        <f>F109*0.01*13</f>
        <v>65</v>
      </c>
      <c r="Y109" s="307">
        <f>X109/13</f>
        <v>5</v>
      </c>
      <c r="Z109" s="324"/>
      <c r="AA109" s="324"/>
      <c r="AB109" s="324"/>
      <c r="AC109" s="324"/>
      <c r="AD109" s="324"/>
      <c r="AE109" s="307"/>
      <c r="AF109" s="324"/>
      <c r="AG109" s="324"/>
      <c r="AH109" s="324"/>
      <c r="AI109" s="324"/>
      <c r="AJ109" s="324"/>
    </row>
    <row r="110" spans="1:36" ht="38.25" customHeight="1">
      <c r="A110" s="136">
        <f>A109+1</f>
        <v>78</v>
      </c>
      <c r="B110" s="163" t="s">
        <v>112</v>
      </c>
      <c r="C110" s="22" t="s">
        <v>724</v>
      </c>
      <c r="D110" s="313" t="s">
        <v>79</v>
      </c>
      <c r="E110" s="314" t="s">
        <v>47</v>
      </c>
      <c r="F110" s="315">
        <f>677+50</f>
        <v>727</v>
      </c>
      <c r="G110" s="316">
        <f>F110*12</f>
        <v>8724</v>
      </c>
      <c r="H110" s="316">
        <v>60</v>
      </c>
      <c r="I110" s="316"/>
      <c r="J110" s="316">
        <f>F110</f>
        <v>727</v>
      </c>
      <c r="K110" s="316">
        <v>300</v>
      </c>
      <c r="L110" s="307"/>
      <c r="M110" s="307">
        <v>125</v>
      </c>
      <c r="N110" s="307">
        <f>F110*0.0775*13</f>
        <v>732.45249999999999</v>
      </c>
      <c r="O110" s="307">
        <f>N110/13</f>
        <v>56.342500000000001</v>
      </c>
      <c r="P110" s="307"/>
      <c r="Q110" s="307"/>
      <c r="R110" s="307"/>
      <c r="S110" s="307">
        <f>F110*0.075*13</f>
        <v>708.82499999999993</v>
      </c>
      <c r="T110" s="307">
        <f>S110/13</f>
        <v>54.524999999999991</v>
      </c>
      <c r="U110" s="307"/>
      <c r="V110" s="307"/>
      <c r="W110" s="307">
        <f>N110+Q110+S110+U110+0.01</f>
        <v>1441.2874999999999</v>
      </c>
      <c r="X110" s="307">
        <f>F110*0.01*13</f>
        <v>94.51</v>
      </c>
      <c r="Y110" s="307">
        <f>X110/13</f>
        <v>7.2700000000000005</v>
      </c>
      <c r="Z110" s="307">
        <f>F110/30/7*1.5*45</f>
        <v>233.67857142857144</v>
      </c>
      <c r="AA110" s="307">
        <f>Z110*0.0775</f>
        <v>18.110089285714288</v>
      </c>
      <c r="AB110" s="307"/>
      <c r="AC110" s="307">
        <f>Z110*0.075</f>
        <v>17.525892857142857</v>
      </c>
      <c r="AD110" s="307"/>
      <c r="AE110" s="307">
        <f>AA110+AB110+AC110+AD110-0.01</f>
        <v>35.625982142857147</v>
      </c>
      <c r="AF110" s="307">
        <f>Z110*0.01</f>
        <v>2.3367857142857145</v>
      </c>
      <c r="AG110" s="307"/>
      <c r="AH110" s="307"/>
      <c r="AI110" s="307"/>
      <c r="AJ110" s="307"/>
    </row>
    <row r="111" spans="1:36">
      <c r="A111" s="21"/>
      <c r="B111" s="154" t="s">
        <v>659</v>
      </c>
      <c r="C111" s="107"/>
      <c r="D111" s="313"/>
      <c r="E111" s="314"/>
      <c r="F111" s="319">
        <f>SUM(F108:F110)</f>
        <v>3227</v>
      </c>
      <c r="G111" s="319">
        <f t="shared" ref="G111:AJ111" si="75">SUM(G108:G110)</f>
        <v>38724</v>
      </c>
      <c r="H111" s="319">
        <f t="shared" si="75"/>
        <v>180</v>
      </c>
      <c r="I111" s="319">
        <f t="shared" si="75"/>
        <v>5000</v>
      </c>
      <c r="J111" s="319">
        <f t="shared" si="75"/>
        <v>3227</v>
      </c>
      <c r="K111" s="319">
        <f t="shared" si="75"/>
        <v>900</v>
      </c>
      <c r="L111" s="319">
        <f t="shared" si="75"/>
        <v>0</v>
      </c>
      <c r="M111" s="319">
        <f t="shared" si="75"/>
        <v>125</v>
      </c>
      <c r="N111" s="319">
        <f t="shared" si="75"/>
        <v>3251.2024999999999</v>
      </c>
      <c r="O111" s="319">
        <f t="shared" si="75"/>
        <v>250.0925</v>
      </c>
      <c r="P111" s="319">
        <f t="shared" si="75"/>
        <v>0</v>
      </c>
      <c r="Q111" s="319">
        <f t="shared" si="75"/>
        <v>0</v>
      </c>
      <c r="R111" s="319">
        <f t="shared" si="75"/>
        <v>0</v>
      </c>
      <c r="S111" s="319">
        <f t="shared" si="75"/>
        <v>2171.3249999999998</v>
      </c>
      <c r="T111" s="319">
        <f t="shared" si="75"/>
        <v>167.02499999999998</v>
      </c>
      <c r="U111" s="319">
        <f t="shared" si="75"/>
        <v>0</v>
      </c>
      <c r="V111" s="319">
        <f t="shared" si="75"/>
        <v>0</v>
      </c>
      <c r="W111" s="319">
        <f t="shared" si="75"/>
        <v>5422.5375000000004</v>
      </c>
      <c r="X111" s="319">
        <f t="shared" si="75"/>
        <v>289.51</v>
      </c>
      <c r="Y111" s="319">
        <f t="shared" si="75"/>
        <v>22.27</v>
      </c>
      <c r="Z111" s="319">
        <f t="shared" si="75"/>
        <v>233.67857142857144</v>
      </c>
      <c r="AA111" s="319">
        <f t="shared" si="75"/>
        <v>18.110089285714288</v>
      </c>
      <c r="AB111" s="319">
        <f t="shared" si="75"/>
        <v>0</v>
      </c>
      <c r="AC111" s="319">
        <f t="shared" si="75"/>
        <v>17.525892857142857</v>
      </c>
      <c r="AD111" s="319">
        <f t="shared" si="75"/>
        <v>0</v>
      </c>
      <c r="AE111" s="319">
        <f t="shared" si="75"/>
        <v>35.625982142857147</v>
      </c>
      <c r="AF111" s="319">
        <f t="shared" si="75"/>
        <v>2.3367857142857145</v>
      </c>
      <c r="AG111" s="319">
        <f t="shared" si="75"/>
        <v>0</v>
      </c>
      <c r="AH111" s="319">
        <f t="shared" si="75"/>
        <v>0</v>
      </c>
      <c r="AI111" s="319">
        <f t="shared" si="75"/>
        <v>0</v>
      </c>
      <c r="AJ111" s="319">
        <f t="shared" si="75"/>
        <v>0</v>
      </c>
    </row>
    <row r="112" spans="1:36" ht="38.25" customHeight="1">
      <c r="A112" s="21">
        <f>A110+1</f>
        <v>79</v>
      </c>
      <c r="B112" s="334" t="s">
        <v>165</v>
      </c>
      <c r="C112" s="107" t="s">
        <v>166</v>
      </c>
      <c r="D112" s="313" t="s">
        <v>762</v>
      </c>
      <c r="E112" s="314" t="s">
        <v>47</v>
      </c>
      <c r="F112" s="315">
        <v>1000</v>
      </c>
      <c r="G112" s="316">
        <f>F112*12</f>
        <v>12000</v>
      </c>
      <c r="H112" s="316">
        <v>60</v>
      </c>
      <c r="I112" s="316">
        <v>5000</v>
      </c>
      <c r="J112" s="316">
        <f>F112</f>
        <v>1000</v>
      </c>
      <c r="K112" s="316">
        <v>300</v>
      </c>
      <c r="L112" s="307">
        <v>1000</v>
      </c>
      <c r="M112" s="307"/>
      <c r="N112" s="307">
        <f>F112*0.0775*13</f>
        <v>1007.5</v>
      </c>
      <c r="O112" s="307"/>
      <c r="P112" s="307">
        <f>N112/13</f>
        <v>77.5</v>
      </c>
      <c r="Q112" s="307"/>
      <c r="R112" s="307"/>
      <c r="S112" s="307">
        <f>F112*0.075*13</f>
        <v>975</v>
      </c>
      <c r="T112" s="307">
        <f>S112/13</f>
        <v>75</v>
      </c>
      <c r="U112" s="307"/>
      <c r="V112" s="307"/>
      <c r="W112" s="307">
        <f>N112+Q112+S112+U112</f>
        <v>1982.5</v>
      </c>
      <c r="X112" s="307">
        <f>F112*0.01*13</f>
        <v>130</v>
      </c>
      <c r="Y112" s="307">
        <f>X112/13</f>
        <v>10</v>
      </c>
      <c r="Z112" s="307"/>
      <c r="AA112" s="307"/>
      <c r="AB112" s="307"/>
      <c r="AC112" s="307"/>
      <c r="AD112" s="307"/>
      <c r="AE112" s="307"/>
      <c r="AF112" s="307"/>
      <c r="AG112" s="307"/>
      <c r="AH112" s="307"/>
      <c r="AI112" s="307"/>
      <c r="AJ112" s="307"/>
    </row>
    <row r="113" spans="1:36" ht="38.25" customHeight="1">
      <c r="A113" s="21">
        <f>A112+1</f>
        <v>80</v>
      </c>
      <c r="B113" s="161" t="s">
        <v>110</v>
      </c>
      <c r="C113" s="107" t="s">
        <v>166</v>
      </c>
      <c r="D113" s="313" t="s">
        <v>79</v>
      </c>
      <c r="E113" s="314" t="s">
        <v>47</v>
      </c>
      <c r="F113" s="315">
        <v>702</v>
      </c>
      <c r="G113" s="316">
        <f>F113*12</f>
        <v>8424</v>
      </c>
      <c r="H113" s="316">
        <v>60</v>
      </c>
      <c r="I113" s="316"/>
      <c r="J113" s="316">
        <f>F113</f>
        <v>702</v>
      </c>
      <c r="K113" s="316">
        <v>300</v>
      </c>
      <c r="L113" s="307"/>
      <c r="M113" s="307">
        <v>125</v>
      </c>
      <c r="N113" s="307">
        <f>F113*0.0775*13</f>
        <v>707.26499999999999</v>
      </c>
      <c r="O113" s="307"/>
      <c r="P113" s="307">
        <f>N113/13</f>
        <v>54.405000000000001</v>
      </c>
      <c r="Q113" s="307"/>
      <c r="R113" s="307"/>
      <c r="S113" s="307">
        <f>F113*0.075*13</f>
        <v>684.44999999999993</v>
      </c>
      <c r="T113" s="307">
        <f>S113/13</f>
        <v>52.649999999999991</v>
      </c>
      <c r="U113" s="307"/>
      <c r="V113" s="307"/>
      <c r="W113" s="307">
        <f>N113+Q113+S113+U113</f>
        <v>1391.7149999999999</v>
      </c>
      <c r="X113" s="307">
        <f>F113*0.01*13</f>
        <v>91.26</v>
      </c>
      <c r="Y113" s="307">
        <f>X113/13</f>
        <v>7.0200000000000005</v>
      </c>
      <c r="Z113" s="307"/>
      <c r="AA113" s="307"/>
      <c r="AB113" s="307"/>
      <c r="AC113" s="307"/>
      <c r="AD113" s="307"/>
      <c r="AE113" s="307"/>
      <c r="AF113" s="307"/>
      <c r="AG113" s="307"/>
      <c r="AH113" s="307"/>
      <c r="AI113" s="307"/>
      <c r="AJ113" s="307"/>
    </row>
    <row r="114" spans="1:36" ht="38.25" customHeight="1">
      <c r="A114" s="21">
        <f>A113+1</f>
        <v>81</v>
      </c>
      <c r="B114" s="335" t="s">
        <v>83</v>
      </c>
      <c r="C114" s="107" t="s">
        <v>166</v>
      </c>
      <c r="D114" s="313" t="s">
        <v>762</v>
      </c>
      <c r="E114" s="314" t="s">
        <v>47</v>
      </c>
      <c r="F114" s="315">
        <v>500</v>
      </c>
      <c r="G114" s="316">
        <f>F114*12</f>
        <v>6000</v>
      </c>
      <c r="H114" s="316">
        <v>60</v>
      </c>
      <c r="I114" s="316"/>
      <c r="J114" s="316">
        <f>F114</f>
        <v>500</v>
      </c>
      <c r="K114" s="316">
        <v>300</v>
      </c>
      <c r="L114" s="307"/>
      <c r="M114" s="307"/>
      <c r="N114" s="307">
        <f>F114*0.0775*13</f>
        <v>503.75</v>
      </c>
      <c r="O114" s="307"/>
      <c r="P114" s="307">
        <f>N114/13</f>
        <v>38.75</v>
      </c>
      <c r="Q114" s="307"/>
      <c r="R114" s="307"/>
      <c r="S114" s="307">
        <f>F114*0.075*13</f>
        <v>487.5</v>
      </c>
      <c r="T114" s="307">
        <f>S114/13</f>
        <v>37.5</v>
      </c>
      <c r="U114" s="307"/>
      <c r="V114" s="307"/>
      <c r="W114" s="307">
        <f>N114+Q114+S114+U114</f>
        <v>991.25</v>
      </c>
      <c r="X114" s="307">
        <f>F114*0.01*13</f>
        <v>65</v>
      </c>
      <c r="Y114" s="307">
        <f>X114/13</f>
        <v>5</v>
      </c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</row>
    <row r="115" spans="1:36" ht="38.25" customHeight="1">
      <c r="A115" s="21">
        <f>A114+1</f>
        <v>82</v>
      </c>
      <c r="B115" s="161" t="s">
        <v>123</v>
      </c>
      <c r="C115" s="107" t="s">
        <v>166</v>
      </c>
      <c r="D115" s="313" t="s">
        <v>79</v>
      </c>
      <c r="E115" s="314" t="s">
        <v>47</v>
      </c>
      <c r="F115" s="315">
        <v>727</v>
      </c>
      <c r="G115" s="316">
        <f>F115*12</f>
        <v>8724</v>
      </c>
      <c r="H115" s="316">
        <v>60</v>
      </c>
      <c r="I115" s="323"/>
      <c r="J115" s="316">
        <f>F115</f>
        <v>727</v>
      </c>
      <c r="K115" s="316">
        <v>300</v>
      </c>
      <c r="L115" s="307"/>
      <c r="M115" s="307">
        <v>125</v>
      </c>
      <c r="N115" s="307">
        <f>F115*0.0775*13</f>
        <v>732.45249999999999</v>
      </c>
      <c r="O115" s="307"/>
      <c r="P115" s="307">
        <f>N115/13</f>
        <v>56.342500000000001</v>
      </c>
      <c r="Q115" s="324"/>
      <c r="R115" s="324"/>
      <c r="S115" s="307">
        <f>F115*0.075*13</f>
        <v>708.82499999999993</v>
      </c>
      <c r="T115" s="307">
        <f>S115/13</f>
        <v>54.524999999999991</v>
      </c>
      <c r="U115" s="324"/>
      <c r="V115" s="324"/>
      <c r="W115" s="307">
        <f>N115+Q115+S115+U115+0.01</f>
        <v>1441.2874999999999</v>
      </c>
      <c r="X115" s="307">
        <f>F115*0.01*13</f>
        <v>94.51</v>
      </c>
      <c r="Y115" s="307">
        <f>X115/13</f>
        <v>7.2700000000000005</v>
      </c>
      <c r="Z115" s="325"/>
      <c r="AA115" s="325"/>
      <c r="AB115" s="324"/>
      <c r="AC115" s="325"/>
      <c r="AD115" s="324"/>
      <c r="AE115" s="307"/>
      <c r="AF115" s="325"/>
      <c r="AG115" s="325"/>
      <c r="AH115" s="325"/>
      <c r="AI115" s="325"/>
      <c r="AJ115" s="324"/>
    </row>
    <row r="116" spans="1:36">
      <c r="A116" s="21"/>
      <c r="B116" s="139" t="s">
        <v>170</v>
      </c>
      <c r="C116" s="107"/>
      <c r="D116" s="313"/>
      <c r="E116" s="314"/>
      <c r="F116" s="320">
        <f>SUM(F112:F115)</f>
        <v>2929</v>
      </c>
      <c r="G116" s="320">
        <f>SUM(G112:G115)</f>
        <v>35148</v>
      </c>
      <c r="H116" s="320">
        <f t="shared" ref="H116:Y116" si="76">SUM(H112:H115)</f>
        <v>240</v>
      </c>
      <c r="I116" s="320">
        <f t="shared" si="76"/>
        <v>5000</v>
      </c>
      <c r="J116" s="320">
        <f t="shared" si="76"/>
        <v>2929</v>
      </c>
      <c r="K116" s="320">
        <f t="shared" si="76"/>
        <v>1200</v>
      </c>
      <c r="L116" s="320">
        <f t="shared" si="76"/>
        <v>1000</v>
      </c>
      <c r="M116" s="320">
        <f t="shared" si="76"/>
        <v>250</v>
      </c>
      <c r="N116" s="320">
        <f t="shared" si="76"/>
        <v>2950.9674999999997</v>
      </c>
      <c r="O116" s="320">
        <f t="shared" si="76"/>
        <v>0</v>
      </c>
      <c r="P116" s="320">
        <f t="shared" si="76"/>
        <v>226.9975</v>
      </c>
      <c r="Q116" s="320">
        <f t="shared" si="76"/>
        <v>0</v>
      </c>
      <c r="R116" s="320">
        <f t="shared" si="76"/>
        <v>0</v>
      </c>
      <c r="S116" s="320">
        <f>SUM(S112:S115)</f>
        <v>2855.7749999999996</v>
      </c>
      <c r="T116" s="320">
        <f>SUM(T112:T115)+0.01</f>
        <v>219.68499999999995</v>
      </c>
      <c r="U116" s="320">
        <f t="shared" si="76"/>
        <v>0</v>
      </c>
      <c r="V116" s="320">
        <f t="shared" si="76"/>
        <v>0</v>
      </c>
      <c r="W116" s="320">
        <f t="shared" si="76"/>
        <v>5806.7525000000005</v>
      </c>
      <c r="X116" s="320">
        <f t="shared" si="76"/>
        <v>380.77</v>
      </c>
      <c r="Y116" s="320">
        <f t="shared" si="76"/>
        <v>29.29</v>
      </c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  <c r="AJ116" s="307"/>
    </row>
    <row r="117" spans="1:36" ht="34.5" customHeight="1">
      <c r="A117" s="21">
        <f>A115+1</f>
        <v>83</v>
      </c>
      <c r="B117" s="187" t="s">
        <v>694</v>
      </c>
      <c r="C117" s="140" t="s">
        <v>635</v>
      </c>
      <c r="D117" s="313" t="s">
        <v>79</v>
      </c>
      <c r="E117" s="314" t="s">
        <v>47</v>
      </c>
      <c r="F117" s="315">
        <v>897</v>
      </c>
      <c r="G117" s="316">
        <f>F117*12</f>
        <v>10764</v>
      </c>
      <c r="H117" s="316">
        <v>60</v>
      </c>
      <c r="I117" s="323"/>
      <c r="J117" s="316">
        <f t="shared" ref="J117" si="77">F117</f>
        <v>897</v>
      </c>
      <c r="K117" s="316">
        <v>300</v>
      </c>
      <c r="L117" s="324"/>
      <c r="M117" s="307">
        <v>125</v>
      </c>
      <c r="N117" s="307">
        <f t="shared" ref="N117:N135" si="78">F117*0.0775*13</f>
        <v>903.72749999999996</v>
      </c>
      <c r="O117" s="307">
        <f>N117/13</f>
        <v>69.517499999999998</v>
      </c>
      <c r="P117" s="307"/>
      <c r="Q117" s="307"/>
      <c r="R117" s="307"/>
      <c r="S117" s="307">
        <f t="shared" ref="S117:S135" si="79">F117*0.075*13</f>
        <v>874.57499999999993</v>
      </c>
      <c r="T117" s="307">
        <f>S117/13</f>
        <v>67.274999999999991</v>
      </c>
      <c r="U117" s="307"/>
      <c r="V117" s="307"/>
      <c r="W117" s="307">
        <f>N117+Q117+S117+U117</f>
        <v>1778.3024999999998</v>
      </c>
      <c r="X117" s="307">
        <f t="shared" ref="X117:X135" si="80">F117*0.01*13</f>
        <v>116.61000000000001</v>
      </c>
      <c r="Y117" s="307">
        <f>X117/13</f>
        <v>8.9700000000000006</v>
      </c>
      <c r="Z117" s="325"/>
      <c r="AA117" s="325"/>
      <c r="AB117" s="324"/>
      <c r="AC117" s="325"/>
      <c r="AD117" s="324"/>
      <c r="AE117" s="307"/>
      <c r="AF117" s="325"/>
      <c r="AG117" s="325"/>
      <c r="AH117" s="325"/>
      <c r="AI117" s="325"/>
      <c r="AJ117" s="324"/>
    </row>
    <row r="118" spans="1:36" ht="28.5" customHeight="1">
      <c r="A118" s="21">
        <f>A117+1</f>
        <v>84</v>
      </c>
      <c r="B118" s="187" t="s">
        <v>746</v>
      </c>
      <c r="C118" s="107" t="s">
        <v>173</v>
      </c>
      <c r="D118" s="313" t="s">
        <v>79</v>
      </c>
      <c r="E118" s="314" t="s">
        <v>47</v>
      </c>
      <c r="F118" s="315">
        <v>847</v>
      </c>
      <c r="G118" s="316">
        <f>F118*12</f>
        <v>10164</v>
      </c>
      <c r="H118" s="316">
        <v>60</v>
      </c>
      <c r="I118" s="323"/>
      <c r="J118" s="316">
        <f t="shared" ref="J118:J133" si="81">F118</f>
        <v>847</v>
      </c>
      <c r="K118" s="316">
        <v>300</v>
      </c>
      <c r="L118" s="324"/>
      <c r="M118" s="307">
        <v>125</v>
      </c>
      <c r="N118" s="307">
        <f t="shared" si="78"/>
        <v>853.35249999999996</v>
      </c>
      <c r="O118" s="307">
        <f>N118/13</f>
        <v>65.642499999999998</v>
      </c>
      <c r="P118" s="307"/>
      <c r="Q118" s="307"/>
      <c r="R118" s="307"/>
      <c r="S118" s="307">
        <f t="shared" si="79"/>
        <v>825.82499999999993</v>
      </c>
      <c r="T118" s="307">
        <f>S118/13</f>
        <v>63.524999999999991</v>
      </c>
      <c r="U118" s="307"/>
      <c r="V118" s="307"/>
      <c r="W118" s="307">
        <f>N118+Q118+S118+U118</f>
        <v>1679.1774999999998</v>
      </c>
      <c r="X118" s="307">
        <f t="shared" si="80"/>
        <v>110.11000000000001</v>
      </c>
      <c r="Y118" s="307">
        <f>X118/13</f>
        <v>8.4700000000000006</v>
      </c>
      <c r="Z118" s="325"/>
      <c r="AA118" s="325"/>
      <c r="AB118" s="324"/>
      <c r="AC118" s="325"/>
      <c r="AD118" s="324"/>
      <c r="AE118" s="307"/>
      <c r="AF118" s="325"/>
      <c r="AG118" s="325"/>
      <c r="AH118" s="325"/>
      <c r="AI118" s="325"/>
      <c r="AJ118" s="324"/>
    </row>
    <row r="119" spans="1:36" ht="27" customHeight="1">
      <c r="A119" s="21">
        <f>A118+1</f>
        <v>85</v>
      </c>
      <c r="B119" s="161" t="s">
        <v>733</v>
      </c>
      <c r="C119" s="107" t="s">
        <v>173</v>
      </c>
      <c r="D119" s="313" t="s">
        <v>79</v>
      </c>
      <c r="E119" s="314" t="s">
        <v>47</v>
      </c>
      <c r="F119" s="315">
        <v>700</v>
      </c>
      <c r="G119" s="316">
        <f>F119*12</f>
        <v>8400</v>
      </c>
      <c r="H119" s="316">
        <v>60</v>
      </c>
      <c r="I119" s="316"/>
      <c r="J119" s="316">
        <f>F119</f>
        <v>700</v>
      </c>
      <c r="K119" s="316">
        <v>300</v>
      </c>
      <c r="L119" s="309"/>
      <c r="M119" s="307">
        <v>125</v>
      </c>
      <c r="N119" s="307">
        <f t="shared" si="78"/>
        <v>705.25</v>
      </c>
      <c r="O119" s="307">
        <f>N119/13</f>
        <v>54.25</v>
      </c>
      <c r="P119" s="307"/>
      <c r="Q119" s="307"/>
      <c r="R119" s="307"/>
      <c r="S119" s="307">
        <f t="shared" si="79"/>
        <v>682.5</v>
      </c>
      <c r="T119" s="307">
        <f>S119/13</f>
        <v>52.5</v>
      </c>
      <c r="U119" s="307"/>
      <c r="V119" s="307"/>
      <c r="W119" s="307">
        <f>N119+Q119+S119+U119</f>
        <v>1387.75</v>
      </c>
      <c r="X119" s="307">
        <f t="shared" si="80"/>
        <v>91</v>
      </c>
      <c r="Y119" s="307">
        <f>X119/13</f>
        <v>7</v>
      </c>
      <c r="Z119" s="307"/>
      <c r="AA119" s="307"/>
      <c r="AB119" s="307"/>
      <c r="AC119" s="307"/>
      <c r="AD119" s="307"/>
      <c r="AE119" s="307"/>
      <c r="AF119" s="307"/>
      <c r="AG119" s="307"/>
      <c r="AH119" s="307"/>
      <c r="AI119" s="307"/>
      <c r="AJ119" s="307"/>
    </row>
    <row r="120" spans="1:36" ht="30" customHeight="1">
      <c r="A120" s="21">
        <f t="shared" ref="A120:A135" si="82">A119+1</f>
        <v>86</v>
      </c>
      <c r="B120" s="150" t="s">
        <v>175</v>
      </c>
      <c r="C120" s="107" t="s">
        <v>173</v>
      </c>
      <c r="D120" s="313" t="s">
        <v>759</v>
      </c>
      <c r="E120" s="314" t="s">
        <v>47</v>
      </c>
      <c r="F120" s="315">
        <v>500</v>
      </c>
      <c r="G120" s="316">
        <f t="shared" ref="G120:G133" si="83">F120*12</f>
        <v>6000</v>
      </c>
      <c r="H120" s="316">
        <v>60</v>
      </c>
      <c r="I120" s="316"/>
      <c r="J120" s="316">
        <f t="shared" si="81"/>
        <v>500</v>
      </c>
      <c r="K120" s="316">
        <v>300</v>
      </c>
      <c r="L120" s="307"/>
      <c r="M120" s="307"/>
      <c r="N120" s="307">
        <f t="shared" si="78"/>
        <v>503.75</v>
      </c>
      <c r="O120" s="307"/>
      <c r="P120" s="307">
        <f>N120/13</f>
        <v>38.75</v>
      </c>
      <c r="Q120" s="307"/>
      <c r="R120" s="307"/>
      <c r="S120" s="307">
        <f t="shared" si="79"/>
        <v>487.5</v>
      </c>
      <c r="T120" s="307">
        <f t="shared" ref="T120:T133" si="84">S120/13</f>
        <v>37.5</v>
      </c>
      <c r="U120" s="307"/>
      <c r="V120" s="307"/>
      <c r="W120" s="307">
        <f t="shared" ref="W120:W127" si="85">N120+Q120+S120+U120</f>
        <v>991.25</v>
      </c>
      <c r="X120" s="307">
        <f t="shared" si="80"/>
        <v>65</v>
      </c>
      <c r="Y120" s="307">
        <f t="shared" ref="Y120:Y133" si="86">X120/13</f>
        <v>5</v>
      </c>
      <c r="Z120" s="307"/>
      <c r="AA120" s="307"/>
      <c r="AB120" s="307"/>
      <c r="AC120" s="307"/>
      <c r="AD120" s="307"/>
      <c r="AE120" s="307"/>
      <c r="AF120" s="307"/>
      <c r="AG120" s="307"/>
      <c r="AH120" s="307"/>
      <c r="AI120" s="307"/>
      <c r="AJ120" s="307"/>
    </row>
    <row r="121" spans="1:36" ht="29.25" customHeight="1">
      <c r="A121" s="21">
        <f t="shared" si="82"/>
        <v>87</v>
      </c>
      <c r="B121" s="161" t="s">
        <v>177</v>
      </c>
      <c r="C121" s="107" t="s">
        <v>173</v>
      </c>
      <c r="D121" s="313" t="s">
        <v>79</v>
      </c>
      <c r="E121" s="314" t="s">
        <v>47</v>
      </c>
      <c r="F121" s="315">
        <f>582.29+30+50+50</f>
        <v>712.29</v>
      </c>
      <c r="G121" s="316">
        <f>F121*12</f>
        <v>8547.48</v>
      </c>
      <c r="H121" s="316">
        <v>60</v>
      </c>
      <c r="I121" s="323"/>
      <c r="J121" s="316">
        <f t="shared" si="81"/>
        <v>712.29</v>
      </c>
      <c r="K121" s="316">
        <v>300</v>
      </c>
      <c r="L121" s="324"/>
      <c r="M121" s="307">
        <v>125</v>
      </c>
      <c r="N121" s="307">
        <f t="shared" si="78"/>
        <v>717.63217499999996</v>
      </c>
      <c r="O121" s="307">
        <f t="shared" ref="O121:O128" si="87">N121/13</f>
        <v>55.202475</v>
      </c>
      <c r="P121" s="307"/>
      <c r="Q121" s="307"/>
      <c r="R121" s="307"/>
      <c r="S121" s="307">
        <f t="shared" si="79"/>
        <v>694.4827499999999</v>
      </c>
      <c r="T121" s="307">
        <f t="shared" si="84"/>
        <v>53.421749999999989</v>
      </c>
      <c r="U121" s="307"/>
      <c r="V121" s="307"/>
      <c r="W121" s="307">
        <f t="shared" si="85"/>
        <v>1412.1149249999999</v>
      </c>
      <c r="X121" s="307">
        <f t="shared" si="80"/>
        <v>92.597699999999989</v>
      </c>
      <c r="Y121" s="307">
        <f t="shared" si="86"/>
        <v>7.1228999999999996</v>
      </c>
      <c r="Z121" s="325"/>
      <c r="AA121" s="325"/>
      <c r="AB121" s="324"/>
      <c r="AC121" s="325"/>
      <c r="AD121" s="324"/>
      <c r="AE121" s="307"/>
      <c r="AF121" s="325"/>
      <c r="AG121" s="325"/>
      <c r="AH121" s="325"/>
      <c r="AI121" s="325"/>
      <c r="AJ121" s="324"/>
    </row>
    <row r="122" spans="1:36" ht="31.5" customHeight="1">
      <c r="A122" s="21">
        <f t="shared" si="82"/>
        <v>88</v>
      </c>
      <c r="B122" s="161" t="s">
        <v>177</v>
      </c>
      <c r="C122" s="107" t="s">
        <v>173</v>
      </c>
      <c r="D122" s="313" t="s">
        <v>79</v>
      </c>
      <c r="E122" s="314" t="s">
        <v>47</v>
      </c>
      <c r="F122" s="315">
        <f>547+30+50+50</f>
        <v>677</v>
      </c>
      <c r="G122" s="316">
        <f t="shared" ref="G122" si="88">F122*12</f>
        <v>8124</v>
      </c>
      <c r="H122" s="316">
        <v>60</v>
      </c>
      <c r="I122" s="316"/>
      <c r="J122" s="316">
        <f t="shared" si="81"/>
        <v>677</v>
      </c>
      <c r="K122" s="316">
        <v>300</v>
      </c>
      <c r="L122" s="307"/>
      <c r="M122" s="307">
        <v>125</v>
      </c>
      <c r="N122" s="307">
        <f t="shared" si="78"/>
        <v>682.07749999999999</v>
      </c>
      <c r="O122" s="307">
        <f t="shared" si="87"/>
        <v>52.467500000000001</v>
      </c>
      <c r="P122" s="307"/>
      <c r="Q122" s="307"/>
      <c r="R122" s="307"/>
      <c r="S122" s="307">
        <f t="shared" si="79"/>
        <v>660.07499999999993</v>
      </c>
      <c r="T122" s="307">
        <f t="shared" si="84"/>
        <v>50.774999999999991</v>
      </c>
      <c r="U122" s="307"/>
      <c r="V122" s="307"/>
      <c r="W122" s="307">
        <f t="shared" si="85"/>
        <v>1342.1524999999999</v>
      </c>
      <c r="X122" s="307">
        <f t="shared" si="80"/>
        <v>88.01</v>
      </c>
      <c r="Y122" s="307">
        <f t="shared" si="86"/>
        <v>6.7700000000000005</v>
      </c>
      <c r="Z122" s="307"/>
      <c r="AA122" s="307"/>
      <c r="AB122" s="307"/>
      <c r="AC122" s="307"/>
      <c r="AD122" s="307"/>
      <c r="AE122" s="307"/>
      <c r="AF122" s="307"/>
      <c r="AG122" s="307"/>
      <c r="AH122" s="307"/>
      <c r="AI122" s="307"/>
      <c r="AJ122" s="307"/>
    </row>
    <row r="123" spans="1:36" ht="28.5" customHeight="1">
      <c r="A123" s="21">
        <f t="shared" si="82"/>
        <v>89</v>
      </c>
      <c r="B123" s="161" t="s">
        <v>177</v>
      </c>
      <c r="C123" s="107" t="s">
        <v>173</v>
      </c>
      <c r="D123" s="313" t="s">
        <v>79</v>
      </c>
      <c r="E123" s="314" t="s">
        <v>47</v>
      </c>
      <c r="F123" s="315">
        <f>547+30+50+50</f>
        <v>677</v>
      </c>
      <c r="G123" s="316">
        <f t="shared" si="83"/>
        <v>8124</v>
      </c>
      <c r="H123" s="316">
        <v>60</v>
      </c>
      <c r="I123" s="316"/>
      <c r="J123" s="316">
        <f t="shared" si="81"/>
        <v>677</v>
      </c>
      <c r="K123" s="316">
        <v>300</v>
      </c>
      <c r="L123" s="307"/>
      <c r="M123" s="307"/>
      <c r="N123" s="307">
        <f t="shared" si="78"/>
        <v>682.07749999999999</v>
      </c>
      <c r="O123" s="307">
        <f t="shared" si="87"/>
        <v>52.467500000000001</v>
      </c>
      <c r="P123" s="307"/>
      <c r="Q123" s="307"/>
      <c r="R123" s="307"/>
      <c r="S123" s="307">
        <f t="shared" si="79"/>
        <v>660.07499999999993</v>
      </c>
      <c r="T123" s="307">
        <f t="shared" si="84"/>
        <v>50.774999999999991</v>
      </c>
      <c r="U123" s="307"/>
      <c r="V123" s="307"/>
      <c r="W123" s="307">
        <f t="shared" si="85"/>
        <v>1342.1524999999999</v>
      </c>
      <c r="X123" s="307">
        <f t="shared" si="80"/>
        <v>88.01</v>
      </c>
      <c r="Y123" s="307">
        <f t="shared" si="86"/>
        <v>6.7700000000000005</v>
      </c>
      <c r="Z123" s="307"/>
      <c r="AA123" s="307"/>
      <c r="AB123" s="307"/>
      <c r="AC123" s="307"/>
      <c r="AD123" s="307"/>
      <c r="AE123" s="307"/>
      <c r="AF123" s="307"/>
      <c r="AG123" s="307"/>
      <c r="AH123" s="307"/>
      <c r="AI123" s="307"/>
      <c r="AJ123" s="307"/>
    </row>
    <row r="124" spans="1:36" ht="30.75" customHeight="1">
      <c r="A124" s="21">
        <f t="shared" si="82"/>
        <v>90</v>
      </c>
      <c r="B124" s="161" t="s">
        <v>181</v>
      </c>
      <c r="C124" s="107" t="s">
        <v>173</v>
      </c>
      <c r="D124" s="313" t="s">
        <v>79</v>
      </c>
      <c r="E124" s="314" t="s">
        <v>47</v>
      </c>
      <c r="F124" s="315">
        <f>467+30+50+50</f>
        <v>597</v>
      </c>
      <c r="G124" s="316">
        <f>F124*12</f>
        <v>7164</v>
      </c>
      <c r="H124" s="316">
        <v>60</v>
      </c>
      <c r="I124" s="323"/>
      <c r="J124" s="316">
        <f t="shared" si="81"/>
        <v>597</v>
      </c>
      <c r="K124" s="316">
        <v>300</v>
      </c>
      <c r="L124" s="324"/>
      <c r="M124" s="307">
        <v>125</v>
      </c>
      <c r="N124" s="307">
        <f t="shared" si="78"/>
        <v>601.47749999999996</v>
      </c>
      <c r="O124" s="307">
        <f t="shared" si="87"/>
        <v>46.267499999999998</v>
      </c>
      <c r="P124" s="307"/>
      <c r="Q124" s="307"/>
      <c r="R124" s="307"/>
      <c r="S124" s="307">
        <f t="shared" si="79"/>
        <v>582.07499999999993</v>
      </c>
      <c r="T124" s="307">
        <f t="shared" si="84"/>
        <v>44.774999999999991</v>
      </c>
      <c r="U124" s="307"/>
      <c r="V124" s="307"/>
      <c r="W124" s="307">
        <f t="shared" si="85"/>
        <v>1183.5524999999998</v>
      </c>
      <c r="X124" s="307">
        <f t="shared" si="80"/>
        <v>77.61</v>
      </c>
      <c r="Y124" s="307">
        <f t="shared" si="86"/>
        <v>5.97</v>
      </c>
      <c r="Z124" s="325"/>
      <c r="AA124" s="325"/>
      <c r="AB124" s="324"/>
      <c r="AC124" s="325"/>
      <c r="AD124" s="324"/>
      <c r="AE124" s="307"/>
      <c r="AF124" s="325"/>
      <c r="AG124" s="325"/>
      <c r="AH124" s="325"/>
      <c r="AI124" s="325"/>
      <c r="AJ124" s="324"/>
    </row>
    <row r="125" spans="1:36" ht="26.25" customHeight="1">
      <c r="A125" s="21">
        <f t="shared" si="82"/>
        <v>91</v>
      </c>
      <c r="B125" s="161" t="s">
        <v>181</v>
      </c>
      <c r="C125" s="107" t="s">
        <v>173</v>
      </c>
      <c r="D125" s="313" t="s">
        <v>79</v>
      </c>
      <c r="E125" s="314" t="s">
        <v>47</v>
      </c>
      <c r="F125" s="315">
        <f>467+30+50+50</f>
        <v>597</v>
      </c>
      <c r="G125" s="316">
        <f>F125*12</f>
        <v>7164</v>
      </c>
      <c r="H125" s="316">
        <v>60</v>
      </c>
      <c r="I125" s="323"/>
      <c r="J125" s="316">
        <f t="shared" si="81"/>
        <v>597</v>
      </c>
      <c r="K125" s="316">
        <v>300</v>
      </c>
      <c r="L125" s="324"/>
      <c r="M125" s="307"/>
      <c r="N125" s="307">
        <f t="shared" si="78"/>
        <v>601.47749999999996</v>
      </c>
      <c r="O125" s="307">
        <f t="shared" si="87"/>
        <v>46.267499999999998</v>
      </c>
      <c r="P125" s="307"/>
      <c r="Q125" s="307"/>
      <c r="R125" s="307"/>
      <c r="S125" s="307">
        <f t="shared" si="79"/>
        <v>582.07499999999993</v>
      </c>
      <c r="T125" s="307">
        <f t="shared" si="84"/>
        <v>44.774999999999991</v>
      </c>
      <c r="U125" s="307"/>
      <c r="V125" s="307"/>
      <c r="W125" s="307">
        <f t="shared" si="85"/>
        <v>1183.5524999999998</v>
      </c>
      <c r="X125" s="307">
        <f t="shared" si="80"/>
        <v>77.61</v>
      </c>
      <c r="Y125" s="307">
        <f t="shared" si="86"/>
        <v>5.97</v>
      </c>
      <c r="Z125" s="325"/>
      <c r="AA125" s="325"/>
      <c r="AB125" s="324"/>
      <c r="AC125" s="325"/>
      <c r="AD125" s="324"/>
      <c r="AE125" s="307"/>
      <c r="AF125" s="325"/>
      <c r="AG125" s="325"/>
      <c r="AH125" s="325"/>
      <c r="AI125" s="325"/>
      <c r="AJ125" s="324"/>
    </row>
    <row r="126" spans="1:36" ht="27" customHeight="1">
      <c r="A126" s="21">
        <f t="shared" si="82"/>
        <v>92</v>
      </c>
      <c r="B126" s="161" t="s">
        <v>181</v>
      </c>
      <c r="C126" s="107" t="s">
        <v>173</v>
      </c>
      <c r="D126" s="313" t="s">
        <v>79</v>
      </c>
      <c r="E126" s="314" t="s">
        <v>47</v>
      </c>
      <c r="F126" s="315">
        <f>467+30+50+50</f>
        <v>597</v>
      </c>
      <c r="G126" s="316">
        <f t="shared" ref="G126:G127" si="89">F126*12</f>
        <v>7164</v>
      </c>
      <c r="H126" s="316">
        <v>60</v>
      </c>
      <c r="I126" s="323"/>
      <c r="J126" s="316">
        <f t="shared" si="81"/>
        <v>597</v>
      </c>
      <c r="K126" s="316">
        <v>300</v>
      </c>
      <c r="L126" s="324"/>
      <c r="M126" s="307">
        <v>125</v>
      </c>
      <c r="N126" s="307">
        <f t="shared" si="78"/>
        <v>601.47749999999996</v>
      </c>
      <c r="O126" s="321"/>
      <c r="P126" s="307">
        <f>N126/13</f>
        <v>46.267499999999998</v>
      </c>
      <c r="Q126" s="324"/>
      <c r="R126" s="324"/>
      <c r="S126" s="307">
        <f t="shared" si="79"/>
        <v>582.07499999999993</v>
      </c>
      <c r="T126" s="307">
        <f t="shared" si="84"/>
        <v>44.774999999999991</v>
      </c>
      <c r="U126" s="324"/>
      <c r="V126" s="324"/>
      <c r="W126" s="307">
        <f t="shared" si="85"/>
        <v>1183.5524999999998</v>
      </c>
      <c r="X126" s="307">
        <f t="shared" si="80"/>
        <v>77.61</v>
      </c>
      <c r="Y126" s="307">
        <f t="shared" si="86"/>
        <v>5.97</v>
      </c>
      <c r="Z126" s="325"/>
      <c r="AA126" s="325"/>
      <c r="AB126" s="324"/>
      <c r="AC126" s="325"/>
      <c r="AD126" s="324"/>
      <c r="AE126" s="307"/>
      <c r="AF126" s="325"/>
      <c r="AG126" s="325"/>
      <c r="AH126" s="325"/>
      <c r="AI126" s="325"/>
      <c r="AJ126" s="324"/>
    </row>
    <row r="127" spans="1:36" ht="29.25" customHeight="1">
      <c r="A127" s="21">
        <f t="shared" si="82"/>
        <v>93</v>
      </c>
      <c r="B127" s="161" t="s">
        <v>181</v>
      </c>
      <c r="C127" s="107" t="s">
        <v>173</v>
      </c>
      <c r="D127" s="313" t="s">
        <v>79</v>
      </c>
      <c r="E127" s="314" t="s">
        <v>47</v>
      </c>
      <c r="F127" s="315">
        <f>467+30+50+50</f>
        <v>597</v>
      </c>
      <c r="G127" s="316">
        <f t="shared" si="89"/>
        <v>7164</v>
      </c>
      <c r="H127" s="316">
        <v>60</v>
      </c>
      <c r="I127" s="323"/>
      <c r="J127" s="316">
        <f t="shared" si="81"/>
        <v>597</v>
      </c>
      <c r="K127" s="316">
        <v>300</v>
      </c>
      <c r="L127" s="324"/>
      <c r="M127" s="307"/>
      <c r="N127" s="307">
        <f t="shared" si="78"/>
        <v>601.47749999999996</v>
      </c>
      <c r="O127" s="321"/>
      <c r="P127" s="307">
        <f>N127/13</f>
        <v>46.267499999999998</v>
      </c>
      <c r="Q127" s="307"/>
      <c r="R127" s="307"/>
      <c r="S127" s="307">
        <f t="shared" si="79"/>
        <v>582.07499999999993</v>
      </c>
      <c r="T127" s="307">
        <f t="shared" si="84"/>
        <v>44.774999999999991</v>
      </c>
      <c r="U127" s="307"/>
      <c r="V127" s="307"/>
      <c r="W127" s="307">
        <f t="shared" si="85"/>
        <v>1183.5524999999998</v>
      </c>
      <c r="X127" s="307">
        <f t="shared" si="80"/>
        <v>77.61</v>
      </c>
      <c r="Y127" s="307">
        <f t="shared" si="86"/>
        <v>5.97</v>
      </c>
      <c r="Z127" s="325"/>
      <c r="AA127" s="325"/>
      <c r="AB127" s="324"/>
      <c r="AC127" s="325"/>
      <c r="AD127" s="324"/>
      <c r="AE127" s="307"/>
      <c r="AF127" s="325"/>
      <c r="AG127" s="325"/>
      <c r="AH127" s="325"/>
      <c r="AI127" s="325"/>
      <c r="AJ127" s="324"/>
    </row>
    <row r="128" spans="1:36" ht="27.75" customHeight="1">
      <c r="A128" s="21">
        <f t="shared" si="82"/>
        <v>94</v>
      </c>
      <c r="B128" s="150" t="s">
        <v>186</v>
      </c>
      <c r="C128" s="107" t="s">
        <v>173</v>
      </c>
      <c r="D128" s="313" t="s">
        <v>759</v>
      </c>
      <c r="E128" s="314" t="s">
        <v>47</v>
      </c>
      <c r="F128" s="315">
        <v>417</v>
      </c>
      <c r="G128" s="316">
        <f>F128*12</f>
        <v>5004</v>
      </c>
      <c r="H128" s="316">
        <v>60</v>
      </c>
      <c r="I128" s="323"/>
      <c r="J128" s="316">
        <f t="shared" si="81"/>
        <v>417</v>
      </c>
      <c r="K128" s="316">
        <v>300</v>
      </c>
      <c r="L128" s="324"/>
      <c r="M128" s="307"/>
      <c r="N128" s="307">
        <f t="shared" si="78"/>
        <v>420.12750000000005</v>
      </c>
      <c r="O128" s="307">
        <f t="shared" si="87"/>
        <v>32.317500000000003</v>
      </c>
      <c r="P128" s="307"/>
      <c r="Q128" s="307"/>
      <c r="R128" s="307"/>
      <c r="S128" s="307">
        <f t="shared" si="79"/>
        <v>406.57499999999999</v>
      </c>
      <c r="T128" s="307">
        <f t="shared" si="84"/>
        <v>31.274999999999999</v>
      </c>
      <c r="U128" s="307"/>
      <c r="V128" s="307"/>
      <c r="W128" s="307">
        <f t="shared" ref="W128:W133" si="90">N128+Q128+S128+U128+0.01</f>
        <v>826.71250000000009</v>
      </c>
      <c r="X128" s="307">
        <f t="shared" si="80"/>
        <v>54.21</v>
      </c>
      <c r="Y128" s="307">
        <f t="shared" si="86"/>
        <v>4.17</v>
      </c>
      <c r="Z128" s="307"/>
      <c r="AA128" s="307"/>
      <c r="AB128" s="307"/>
      <c r="AC128" s="307"/>
      <c r="AD128" s="307"/>
      <c r="AE128" s="307"/>
      <c r="AF128" s="307"/>
      <c r="AG128" s="324"/>
      <c r="AH128" s="324"/>
      <c r="AI128" s="324"/>
      <c r="AJ128" s="324"/>
    </row>
    <row r="129" spans="1:36" ht="27.75" customHeight="1">
      <c r="A129" s="21">
        <f t="shared" si="82"/>
        <v>95</v>
      </c>
      <c r="B129" s="161" t="s">
        <v>186</v>
      </c>
      <c r="C129" s="107" t="s">
        <v>173</v>
      </c>
      <c r="D129" s="313" t="s">
        <v>79</v>
      </c>
      <c r="E129" s="314" t="s">
        <v>47</v>
      </c>
      <c r="F129" s="315">
        <f>417+30+50+50</f>
        <v>547</v>
      </c>
      <c r="G129" s="316">
        <f t="shared" si="83"/>
        <v>6564</v>
      </c>
      <c r="H129" s="316">
        <v>60</v>
      </c>
      <c r="I129" s="316"/>
      <c r="J129" s="316">
        <f t="shared" si="81"/>
        <v>547</v>
      </c>
      <c r="K129" s="316">
        <v>300</v>
      </c>
      <c r="L129" s="307"/>
      <c r="M129" s="307">
        <v>125</v>
      </c>
      <c r="N129" s="307">
        <f t="shared" si="78"/>
        <v>551.10249999999996</v>
      </c>
      <c r="O129" s="307"/>
      <c r="P129" s="307">
        <f>N129/13</f>
        <v>42.392499999999998</v>
      </c>
      <c r="Q129" s="307"/>
      <c r="R129" s="307"/>
      <c r="S129" s="307">
        <f t="shared" si="79"/>
        <v>533.32499999999993</v>
      </c>
      <c r="T129" s="307">
        <f t="shared" si="84"/>
        <v>41.024999999999991</v>
      </c>
      <c r="U129" s="307"/>
      <c r="V129" s="307"/>
      <c r="W129" s="307">
        <f t="shared" si="90"/>
        <v>1084.4374999999998</v>
      </c>
      <c r="X129" s="307">
        <f t="shared" si="80"/>
        <v>71.11</v>
      </c>
      <c r="Y129" s="307">
        <f t="shared" si="86"/>
        <v>5.47</v>
      </c>
      <c r="Z129" s="307"/>
      <c r="AA129" s="307"/>
      <c r="AB129" s="307"/>
      <c r="AC129" s="307"/>
      <c r="AD129" s="307"/>
      <c r="AE129" s="307"/>
      <c r="AF129" s="307"/>
      <c r="AG129" s="307"/>
      <c r="AH129" s="307"/>
      <c r="AI129" s="307"/>
      <c r="AJ129" s="307"/>
    </row>
    <row r="130" spans="1:36" ht="28.5" customHeight="1">
      <c r="A130" s="21">
        <f t="shared" si="82"/>
        <v>96</v>
      </c>
      <c r="B130" s="150" t="s">
        <v>186</v>
      </c>
      <c r="C130" s="107" t="s">
        <v>173</v>
      </c>
      <c r="D130" s="313" t="s">
        <v>759</v>
      </c>
      <c r="E130" s="314" t="s">
        <v>47</v>
      </c>
      <c r="F130" s="315">
        <v>417</v>
      </c>
      <c r="G130" s="316">
        <f t="shared" si="83"/>
        <v>5004</v>
      </c>
      <c r="H130" s="316">
        <v>60</v>
      </c>
      <c r="I130" s="323"/>
      <c r="J130" s="316">
        <f t="shared" si="81"/>
        <v>417</v>
      </c>
      <c r="K130" s="316">
        <v>300</v>
      </c>
      <c r="L130" s="324"/>
      <c r="M130" s="307"/>
      <c r="N130" s="307">
        <f t="shared" si="78"/>
        <v>420.12750000000005</v>
      </c>
      <c r="O130" s="307"/>
      <c r="P130" s="307">
        <f>N130/13</f>
        <v>32.317500000000003</v>
      </c>
      <c r="Q130" s="307"/>
      <c r="R130" s="307"/>
      <c r="S130" s="307">
        <f t="shared" si="79"/>
        <v>406.57499999999999</v>
      </c>
      <c r="T130" s="307">
        <f t="shared" si="84"/>
        <v>31.274999999999999</v>
      </c>
      <c r="U130" s="307"/>
      <c r="V130" s="307"/>
      <c r="W130" s="307">
        <f t="shared" si="90"/>
        <v>826.71250000000009</v>
      </c>
      <c r="X130" s="307">
        <f t="shared" si="80"/>
        <v>54.21</v>
      </c>
      <c r="Y130" s="307">
        <f t="shared" si="86"/>
        <v>4.17</v>
      </c>
      <c r="Z130" s="325"/>
      <c r="AA130" s="325"/>
      <c r="AB130" s="324"/>
      <c r="AC130" s="325"/>
      <c r="AD130" s="324"/>
      <c r="AE130" s="307"/>
      <c r="AF130" s="325"/>
      <c r="AG130" s="325"/>
      <c r="AH130" s="325"/>
      <c r="AI130" s="325"/>
      <c r="AJ130" s="324"/>
    </row>
    <row r="131" spans="1:36" ht="29.25" customHeight="1">
      <c r="A131" s="21">
        <f t="shared" si="82"/>
        <v>97</v>
      </c>
      <c r="B131" s="336" t="s">
        <v>186</v>
      </c>
      <c r="C131" s="107" t="s">
        <v>173</v>
      </c>
      <c r="D131" s="313" t="s">
        <v>762</v>
      </c>
      <c r="E131" s="314" t="s">
        <v>47</v>
      </c>
      <c r="F131" s="315">
        <v>417</v>
      </c>
      <c r="G131" s="316">
        <f t="shared" si="83"/>
        <v>5004</v>
      </c>
      <c r="H131" s="316">
        <v>60</v>
      </c>
      <c r="I131" s="323"/>
      <c r="J131" s="316">
        <f t="shared" si="81"/>
        <v>417</v>
      </c>
      <c r="K131" s="316">
        <v>300</v>
      </c>
      <c r="L131" s="324"/>
      <c r="M131" s="307"/>
      <c r="N131" s="307">
        <f t="shared" si="78"/>
        <v>420.12750000000005</v>
      </c>
      <c r="O131" s="307"/>
      <c r="P131" s="307">
        <f>N131/13</f>
        <v>32.317500000000003</v>
      </c>
      <c r="Q131" s="307"/>
      <c r="R131" s="307"/>
      <c r="S131" s="307">
        <f t="shared" si="79"/>
        <v>406.57499999999999</v>
      </c>
      <c r="T131" s="307">
        <f t="shared" si="84"/>
        <v>31.274999999999999</v>
      </c>
      <c r="U131" s="307"/>
      <c r="V131" s="307"/>
      <c r="W131" s="307">
        <f t="shared" si="90"/>
        <v>826.71250000000009</v>
      </c>
      <c r="X131" s="307">
        <f t="shared" si="80"/>
        <v>54.21</v>
      </c>
      <c r="Y131" s="307">
        <f t="shared" si="86"/>
        <v>4.17</v>
      </c>
      <c r="Z131" s="325"/>
      <c r="AA131" s="325"/>
      <c r="AB131" s="324"/>
      <c r="AC131" s="325"/>
      <c r="AD131" s="324"/>
      <c r="AE131" s="307"/>
      <c r="AF131" s="325"/>
      <c r="AG131" s="325"/>
      <c r="AH131" s="325"/>
      <c r="AI131" s="325"/>
      <c r="AJ131" s="324"/>
    </row>
    <row r="132" spans="1:36" ht="28.5" customHeight="1">
      <c r="A132" s="21">
        <f t="shared" si="82"/>
        <v>98</v>
      </c>
      <c r="B132" s="336" t="s">
        <v>186</v>
      </c>
      <c r="C132" s="107" t="s">
        <v>173</v>
      </c>
      <c r="D132" s="313" t="s">
        <v>762</v>
      </c>
      <c r="E132" s="314" t="s">
        <v>47</v>
      </c>
      <c r="F132" s="315">
        <v>417</v>
      </c>
      <c r="G132" s="316">
        <f t="shared" ref="G132" si="91">F132*12</f>
        <v>5004</v>
      </c>
      <c r="H132" s="316">
        <v>60</v>
      </c>
      <c r="I132" s="323"/>
      <c r="J132" s="316">
        <f t="shared" ref="J132" si="92">F132</f>
        <v>417</v>
      </c>
      <c r="K132" s="316">
        <v>300</v>
      </c>
      <c r="L132" s="324"/>
      <c r="M132" s="307"/>
      <c r="N132" s="307">
        <f t="shared" si="78"/>
        <v>420.12750000000005</v>
      </c>
      <c r="O132" s="307"/>
      <c r="P132" s="307">
        <f>N132/13</f>
        <v>32.317500000000003</v>
      </c>
      <c r="Q132" s="307"/>
      <c r="R132" s="307"/>
      <c r="S132" s="307">
        <f t="shared" si="79"/>
        <v>406.57499999999999</v>
      </c>
      <c r="T132" s="307">
        <f t="shared" ref="T132" si="93">S132/13</f>
        <v>31.274999999999999</v>
      </c>
      <c r="U132" s="307"/>
      <c r="V132" s="307"/>
      <c r="W132" s="307">
        <f t="shared" si="90"/>
        <v>826.71250000000009</v>
      </c>
      <c r="X132" s="307">
        <f t="shared" si="80"/>
        <v>54.21</v>
      </c>
      <c r="Y132" s="307">
        <f t="shared" ref="Y132" si="94">X132/13</f>
        <v>4.17</v>
      </c>
      <c r="Z132" s="325"/>
      <c r="AA132" s="325"/>
      <c r="AB132" s="324"/>
      <c r="AC132" s="325"/>
      <c r="AD132" s="324"/>
      <c r="AE132" s="307"/>
      <c r="AF132" s="325"/>
      <c r="AG132" s="325"/>
      <c r="AH132" s="325"/>
      <c r="AI132" s="325"/>
      <c r="AJ132" s="324"/>
    </row>
    <row r="133" spans="1:36" ht="31.5" customHeight="1">
      <c r="A133" s="21">
        <f t="shared" si="82"/>
        <v>99</v>
      </c>
      <c r="B133" s="336" t="s">
        <v>186</v>
      </c>
      <c r="C133" s="107" t="s">
        <v>173</v>
      </c>
      <c r="D133" s="313" t="s">
        <v>762</v>
      </c>
      <c r="E133" s="314" t="s">
        <v>47</v>
      </c>
      <c r="F133" s="315">
        <v>417</v>
      </c>
      <c r="G133" s="316">
        <f t="shared" si="83"/>
        <v>5004</v>
      </c>
      <c r="H133" s="316">
        <v>60</v>
      </c>
      <c r="I133" s="323"/>
      <c r="J133" s="316">
        <f t="shared" si="81"/>
        <v>417</v>
      </c>
      <c r="K133" s="316">
        <v>300</v>
      </c>
      <c r="L133" s="324"/>
      <c r="M133" s="307"/>
      <c r="N133" s="307">
        <f t="shared" si="78"/>
        <v>420.12750000000005</v>
      </c>
      <c r="O133" s="307"/>
      <c r="P133" s="307">
        <f>N133/13</f>
        <v>32.317500000000003</v>
      </c>
      <c r="Q133" s="307"/>
      <c r="R133" s="307"/>
      <c r="S133" s="307">
        <f t="shared" si="79"/>
        <v>406.57499999999999</v>
      </c>
      <c r="T133" s="307">
        <f t="shared" si="84"/>
        <v>31.274999999999999</v>
      </c>
      <c r="U133" s="307"/>
      <c r="V133" s="307"/>
      <c r="W133" s="307">
        <f t="shared" si="90"/>
        <v>826.71250000000009</v>
      </c>
      <c r="X133" s="307">
        <f t="shared" si="80"/>
        <v>54.21</v>
      </c>
      <c r="Y133" s="307">
        <f t="shared" si="86"/>
        <v>4.17</v>
      </c>
      <c r="Z133" s="325"/>
      <c r="AA133" s="325"/>
      <c r="AB133" s="324"/>
      <c r="AC133" s="325"/>
      <c r="AD133" s="324"/>
      <c r="AE133" s="307"/>
      <c r="AF133" s="325"/>
      <c r="AG133" s="325"/>
      <c r="AH133" s="325"/>
      <c r="AI133" s="325"/>
      <c r="AJ133" s="324"/>
    </row>
    <row r="134" spans="1:36" ht="29.25" customHeight="1">
      <c r="A134" s="21">
        <f t="shared" si="82"/>
        <v>100</v>
      </c>
      <c r="B134" s="337" t="s">
        <v>734</v>
      </c>
      <c r="C134" s="140" t="s">
        <v>635</v>
      </c>
      <c r="D134" s="313" t="s">
        <v>79</v>
      </c>
      <c r="E134" s="314" t="s">
        <v>47</v>
      </c>
      <c r="F134" s="315">
        <f>667+50</f>
        <v>717</v>
      </c>
      <c r="G134" s="316">
        <f t="shared" ref="G134:G135" si="95">F134*12</f>
        <v>8604</v>
      </c>
      <c r="H134" s="316">
        <v>60</v>
      </c>
      <c r="I134" s="323"/>
      <c r="J134" s="316">
        <f t="shared" ref="J134:J135" si="96">F134</f>
        <v>717</v>
      </c>
      <c r="K134" s="316">
        <v>300</v>
      </c>
      <c r="L134" s="324"/>
      <c r="M134" s="307"/>
      <c r="N134" s="307">
        <f t="shared" si="78"/>
        <v>722.37750000000005</v>
      </c>
      <c r="O134" s="307"/>
      <c r="P134" s="307">
        <f t="shared" ref="P134:P135" si="97">N134/13</f>
        <v>55.567500000000003</v>
      </c>
      <c r="Q134" s="307"/>
      <c r="R134" s="307"/>
      <c r="S134" s="307">
        <f t="shared" si="79"/>
        <v>699.07499999999993</v>
      </c>
      <c r="T134" s="307">
        <f t="shared" ref="T134:T135" si="98">S134/13</f>
        <v>53.774999999999991</v>
      </c>
      <c r="U134" s="307"/>
      <c r="V134" s="307"/>
      <c r="W134" s="307">
        <f t="shared" ref="W134:W135" si="99">N134+Q134+S134+U134+0.01</f>
        <v>1421.4624999999999</v>
      </c>
      <c r="X134" s="307">
        <f t="shared" si="80"/>
        <v>93.21</v>
      </c>
      <c r="Y134" s="307">
        <f t="shared" ref="Y134:Y135" si="100">X134/13</f>
        <v>7.17</v>
      </c>
      <c r="Z134" s="325"/>
      <c r="AA134" s="325"/>
      <c r="AB134" s="324"/>
      <c r="AC134" s="325"/>
      <c r="AD134" s="324"/>
      <c r="AE134" s="307"/>
      <c r="AF134" s="325"/>
      <c r="AG134" s="325"/>
      <c r="AH134" s="325"/>
      <c r="AI134" s="325"/>
      <c r="AJ134" s="324"/>
    </row>
    <row r="135" spans="1:36" ht="30" customHeight="1">
      <c r="A135" s="21">
        <f t="shared" si="82"/>
        <v>101</v>
      </c>
      <c r="B135" s="337" t="s">
        <v>783</v>
      </c>
      <c r="C135" s="140" t="s">
        <v>635</v>
      </c>
      <c r="D135" s="313" t="s">
        <v>79</v>
      </c>
      <c r="E135" s="314" t="s">
        <v>47</v>
      </c>
      <c r="F135" s="315">
        <f>685.15+50</f>
        <v>735.15</v>
      </c>
      <c r="G135" s="316">
        <f t="shared" si="95"/>
        <v>8821.7999999999993</v>
      </c>
      <c r="H135" s="316">
        <v>60</v>
      </c>
      <c r="I135" s="323"/>
      <c r="J135" s="316">
        <f t="shared" si="96"/>
        <v>735.15</v>
      </c>
      <c r="K135" s="316">
        <v>300</v>
      </c>
      <c r="L135" s="324"/>
      <c r="M135" s="307">
        <v>125</v>
      </c>
      <c r="N135" s="307">
        <f t="shared" si="78"/>
        <v>740.66362500000002</v>
      </c>
      <c r="O135" s="307"/>
      <c r="P135" s="307">
        <f t="shared" si="97"/>
        <v>56.974125000000001</v>
      </c>
      <c r="Q135" s="307"/>
      <c r="R135" s="307"/>
      <c r="S135" s="307">
        <f t="shared" si="79"/>
        <v>716.77125000000001</v>
      </c>
      <c r="T135" s="307">
        <f t="shared" si="98"/>
        <v>55.136250000000004</v>
      </c>
      <c r="U135" s="307"/>
      <c r="V135" s="307"/>
      <c r="W135" s="307">
        <f t="shared" si="99"/>
        <v>1457.4448749999999</v>
      </c>
      <c r="X135" s="307">
        <f t="shared" si="80"/>
        <v>95.569499999999991</v>
      </c>
      <c r="Y135" s="307">
        <f t="shared" si="100"/>
        <v>7.3514999999999997</v>
      </c>
      <c r="Z135" s="325"/>
      <c r="AA135" s="325"/>
      <c r="AB135" s="324"/>
      <c r="AC135" s="325"/>
      <c r="AD135" s="324"/>
      <c r="AE135" s="307"/>
      <c r="AF135" s="325"/>
      <c r="AG135" s="325"/>
      <c r="AH135" s="325"/>
      <c r="AI135" s="325"/>
      <c r="AJ135" s="324"/>
    </row>
    <row r="136" spans="1:36">
      <c r="A136" s="21"/>
      <c r="B136" s="138" t="s">
        <v>189</v>
      </c>
      <c r="C136" s="107"/>
      <c r="D136" s="313"/>
      <c r="E136" s="314"/>
      <c r="F136" s="319">
        <f>SUM(F117:F135)</f>
        <v>11482.44</v>
      </c>
      <c r="G136" s="319">
        <f t="shared" ref="G136:AJ136" si="101">SUM(G117:G135)</f>
        <v>137789.28</v>
      </c>
      <c r="H136" s="319">
        <f t="shared" si="101"/>
        <v>1140</v>
      </c>
      <c r="I136" s="319">
        <f t="shared" si="101"/>
        <v>0</v>
      </c>
      <c r="J136" s="319">
        <f t="shared" si="101"/>
        <v>11482.44</v>
      </c>
      <c r="K136" s="319">
        <f t="shared" si="101"/>
        <v>5700</v>
      </c>
      <c r="L136" s="319">
        <f t="shared" si="101"/>
        <v>0</v>
      </c>
      <c r="M136" s="319">
        <f t="shared" si="101"/>
        <v>1125</v>
      </c>
      <c r="N136" s="319">
        <f>SUM(N117:N135)+0.02</f>
        <v>11568.578300000001</v>
      </c>
      <c r="O136" s="319">
        <f>SUM(O117:O135)+0.01</f>
        <v>474.40997499999992</v>
      </c>
      <c r="P136" s="319">
        <f>SUM(P117:P135)+0.01</f>
        <v>415.49912499999999</v>
      </c>
      <c r="Q136" s="319">
        <f t="shared" si="101"/>
        <v>0</v>
      </c>
      <c r="R136" s="319">
        <f t="shared" si="101"/>
        <v>0</v>
      </c>
      <c r="S136" s="319">
        <f>SUM(S117:S135)+0.07</f>
        <v>11195.449000000001</v>
      </c>
      <c r="T136" s="319">
        <f t="shared" si="101"/>
        <v>861.18299999999977</v>
      </c>
      <c r="U136" s="319">
        <f t="shared" si="101"/>
        <v>0</v>
      </c>
      <c r="V136" s="319">
        <f t="shared" si="101"/>
        <v>0</v>
      </c>
      <c r="W136" s="319">
        <f t="shared" si="101"/>
        <v>22764.017300000007</v>
      </c>
      <c r="X136" s="319">
        <f t="shared" si="101"/>
        <v>1492.7172000000003</v>
      </c>
      <c r="Y136" s="319">
        <f t="shared" si="101"/>
        <v>114.82440000000001</v>
      </c>
      <c r="Z136" s="319">
        <f t="shared" si="101"/>
        <v>0</v>
      </c>
      <c r="AA136" s="319">
        <f t="shared" si="101"/>
        <v>0</v>
      </c>
      <c r="AB136" s="319">
        <f t="shared" si="101"/>
        <v>0</v>
      </c>
      <c r="AC136" s="319">
        <f t="shared" si="101"/>
        <v>0</v>
      </c>
      <c r="AD136" s="319">
        <f t="shared" si="101"/>
        <v>0</v>
      </c>
      <c r="AE136" s="319">
        <f t="shared" si="101"/>
        <v>0</v>
      </c>
      <c r="AF136" s="319">
        <f t="shared" si="101"/>
        <v>0</v>
      </c>
      <c r="AG136" s="319">
        <f t="shared" si="101"/>
        <v>0</v>
      </c>
      <c r="AH136" s="319">
        <f t="shared" si="101"/>
        <v>0</v>
      </c>
      <c r="AI136" s="319">
        <f t="shared" si="101"/>
        <v>0</v>
      </c>
      <c r="AJ136" s="319">
        <f t="shared" si="101"/>
        <v>0</v>
      </c>
    </row>
    <row r="137" spans="1:36" ht="39.75" customHeight="1">
      <c r="A137" s="21">
        <f>A135+1</f>
        <v>102</v>
      </c>
      <c r="B137" s="148" t="s">
        <v>128</v>
      </c>
      <c r="C137" s="107" t="s">
        <v>129</v>
      </c>
      <c r="D137" s="313" t="s">
        <v>79</v>
      </c>
      <c r="E137" s="314" t="s">
        <v>47</v>
      </c>
      <c r="F137" s="315">
        <f>675+50</f>
        <v>725</v>
      </c>
      <c r="G137" s="316">
        <f>F137*12</f>
        <v>8700</v>
      </c>
      <c r="H137" s="316">
        <v>60</v>
      </c>
      <c r="I137" s="323"/>
      <c r="J137" s="316">
        <f>F137</f>
        <v>725</v>
      </c>
      <c r="K137" s="316">
        <v>300</v>
      </c>
      <c r="L137" s="324"/>
      <c r="M137" s="307">
        <v>125</v>
      </c>
      <c r="N137" s="307">
        <f>F137*0.0775*13</f>
        <v>730.4375</v>
      </c>
      <c r="O137" s="321"/>
      <c r="P137" s="307">
        <f>N137/13</f>
        <v>56.1875</v>
      </c>
      <c r="Q137" s="307"/>
      <c r="R137" s="307"/>
      <c r="S137" s="307">
        <f>F137*0.075*13</f>
        <v>706.875</v>
      </c>
      <c r="T137" s="307">
        <f>S137/13</f>
        <v>54.375</v>
      </c>
      <c r="U137" s="307"/>
      <c r="V137" s="307"/>
      <c r="W137" s="307">
        <f>N137+Q137+S137+U137</f>
        <v>1437.3125</v>
      </c>
      <c r="X137" s="307">
        <f>F137*0.01*13</f>
        <v>94.25</v>
      </c>
      <c r="Y137" s="307">
        <f>X137/13</f>
        <v>7.25</v>
      </c>
      <c r="Z137" s="325"/>
      <c r="AA137" s="325"/>
      <c r="AB137" s="324"/>
      <c r="AC137" s="325"/>
      <c r="AD137" s="324"/>
      <c r="AE137" s="307"/>
      <c r="AF137" s="325"/>
      <c r="AG137" s="325"/>
      <c r="AH137" s="325"/>
      <c r="AI137" s="325"/>
      <c r="AJ137" s="324"/>
    </row>
    <row r="138" spans="1:36" ht="22.5" customHeight="1">
      <c r="A138" s="21"/>
      <c r="B138" s="453" t="s">
        <v>130</v>
      </c>
      <c r="C138" s="454"/>
      <c r="D138" s="454"/>
      <c r="E138" s="455"/>
      <c r="F138" s="319">
        <f>SUM(F137)</f>
        <v>725</v>
      </c>
      <c r="G138" s="320">
        <f>SUM(G137)</f>
        <v>8700</v>
      </c>
      <c r="H138" s="320">
        <f>SUM(H137)</f>
        <v>60</v>
      </c>
      <c r="I138" s="320">
        <f>SUM(I137)</f>
        <v>0</v>
      </c>
      <c r="J138" s="320">
        <f t="shared" ref="J138:P138" si="102">SUM(J137)</f>
        <v>725</v>
      </c>
      <c r="K138" s="320">
        <f t="shared" si="102"/>
        <v>300</v>
      </c>
      <c r="L138" s="324"/>
      <c r="M138" s="312">
        <f t="shared" si="102"/>
        <v>125</v>
      </c>
      <c r="N138" s="312">
        <f t="shared" si="102"/>
        <v>730.4375</v>
      </c>
      <c r="O138" s="312">
        <f t="shared" si="102"/>
        <v>0</v>
      </c>
      <c r="P138" s="312">
        <f t="shared" si="102"/>
        <v>56.1875</v>
      </c>
      <c r="Q138" s="307">
        <f>SUM(Q137)</f>
        <v>0</v>
      </c>
      <c r="R138" s="307">
        <f>SUM(R137)</f>
        <v>0</v>
      </c>
      <c r="S138" s="312">
        <f>SUM(S137)</f>
        <v>706.875</v>
      </c>
      <c r="T138" s="312">
        <f>SUM(T137)</f>
        <v>54.375</v>
      </c>
      <c r="U138" s="307"/>
      <c r="V138" s="307"/>
      <c r="W138" s="312">
        <f>SUM(W137)</f>
        <v>1437.3125</v>
      </c>
      <c r="X138" s="312">
        <f>SUM(X137)</f>
        <v>94.25</v>
      </c>
      <c r="Y138" s="312">
        <f>SUM(Y137)</f>
        <v>7.25</v>
      </c>
      <c r="Z138" s="325"/>
      <c r="AA138" s="325"/>
      <c r="AB138" s="324"/>
      <c r="AC138" s="307"/>
      <c r="AD138" s="324"/>
      <c r="AE138" s="307"/>
      <c r="AF138" s="325"/>
      <c r="AG138" s="325"/>
      <c r="AH138" s="325"/>
      <c r="AI138" s="325"/>
      <c r="AJ138" s="324"/>
    </row>
    <row r="139" spans="1:36" ht="39.75" customHeight="1">
      <c r="A139" s="21">
        <f>A137+1</f>
        <v>103</v>
      </c>
      <c r="B139" s="163" t="s">
        <v>695</v>
      </c>
      <c r="C139" s="140" t="s">
        <v>657</v>
      </c>
      <c r="D139" s="313" t="s">
        <v>79</v>
      </c>
      <c r="E139" s="314" t="s">
        <v>47</v>
      </c>
      <c r="F139" s="315">
        <f>734.86+30+50</f>
        <v>814.86</v>
      </c>
      <c r="G139" s="316">
        <f>F139*12</f>
        <v>9778.32</v>
      </c>
      <c r="H139" s="316">
        <v>60</v>
      </c>
      <c r="I139" s="323"/>
      <c r="J139" s="316">
        <f>F139</f>
        <v>814.86</v>
      </c>
      <c r="K139" s="316">
        <v>300</v>
      </c>
      <c r="L139" s="324"/>
      <c r="M139" s="307"/>
      <c r="N139" s="307">
        <f>F139*0.0775*13</f>
        <v>820.97145</v>
      </c>
      <c r="O139" s="307">
        <f>N139/13</f>
        <v>63.151650000000004</v>
      </c>
      <c r="P139" s="307"/>
      <c r="Q139" s="307"/>
      <c r="R139" s="307"/>
      <c r="S139" s="307">
        <f>F139*0.075*13</f>
        <v>794.48850000000004</v>
      </c>
      <c r="T139" s="307">
        <f>S139/13</f>
        <v>61.114500000000007</v>
      </c>
      <c r="U139" s="307"/>
      <c r="V139" s="307"/>
      <c r="W139" s="307">
        <f>N139+Q139+S139+U139</f>
        <v>1615.4599499999999</v>
      </c>
      <c r="X139" s="307">
        <f>F139*0.01*13</f>
        <v>105.9318</v>
      </c>
      <c r="Y139" s="307">
        <f>X139/13</f>
        <v>8.1486000000000001</v>
      </c>
      <c r="Z139" s="325"/>
      <c r="AA139" s="325"/>
      <c r="AB139" s="324"/>
      <c r="AC139" s="307"/>
      <c r="AD139" s="324"/>
      <c r="AE139" s="307"/>
      <c r="AF139" s="325"/>
      <c r="AG139" s="325"/>
      <c r="AH139" s="325"/>
      <c r="AI139" s="325"/>
      <c r="AJ139" s="324"/>
    </row>
    <row r="140" spans="1:36" ht="36.75" customHeight="1">
      <c r="A140" s="21">
        <f>A139+1</f>
        <v>104</v>
      </c>
      <c r="B140" s="161" t="s">
        <v>135</v>
      </c>
      <c r="C140" s="140" t="s">
        <v>657</v>
      </c>
      <c r="D140" s="313" t="s">
        <v>79</v>
      </c>
      <c r="E140" s="314" t="s">
        <v>47</v>
      </c>
      <c r="F140" s="315">
        <f>605+30+50+50</f>
        <v>735</v>
      </c>
      <c r="G140" s="316">
        <f>F140*12</f>
        <v>8820</v>
      </c>
      <c r="H140" s="316">
        <v>60</v>
      </c>
      <c r="I140" s="323"/>
      <c r="J140" s="316">
        <f>F140</f>
        <v>735</v>
      </c>
      <c r="K140" s="316">
        <v>300</v>
      </c>
      <c r="L140" s="307"/>
      <c r="M140" s="307">
        <v>125</v>
      </c>
      <c r="N140" s="307"/>
      <c r="O140" s="307"/>
      <c r="P140" s="307"/>
      <c r="Q140" s="324"/>
      <c r="R140" s="324"/>
      <c r="S140" s="307">
        <f>F140*0.075*13</f>
        <v>716.625</v>
      </c>
      <c r="T140" s="307">
        <f>S140/13</f>
        <v>55.125</v>
      </c>
      <c r="U140" s="307">
        <f>F140*0.06*13</f>
        <v>573.30000000000007</v>
      </c>
      <c r="V140" s="307">
        <f>U140/12</f>
        <v>47.775000000000006</v>
      </c>
      <c r="W140" s="307">
        <f>N140+Q140+S140+U140</f>
        <v>1289.9250000000002</v>
      </c>
      <c r="X140" s="307">
        <f>F140*0.01*13</f>
        <v>95.550000000000011</v>
      </c>
      <c r="Y140" s="307">
        <f>X140/13</f>
        <v>7.3500000000000005</v>
      </c>
      <c r="Z140" s="325"/>
      <c r="AA140" s="325"/>
      <c r="AB140" s="324"/>
      <c r="AC140" s="325"/>
      <c r="AD140" s="324"/>
      <c r="AE140" s="307"/>
      <c r="AF140" s="325"/>
      <c r="AG140" s="325"/>
      <c r="AH140" s="325"/>
      <c r="AI140" s="325"/>
      <c r="AJ140" s="324"/>
    </row>
    <row r="141" spans="1:36" ht="36.75" customHeight="1">
      <c r="A141" s="21">
        <f>A140+1</f>
        <v>105</v>
      </c>
      <c r="B141" s="338" t="s">
        <v>137</v>
      </c>
      <c r="C141" s="140" t="s">
        <v>657</v>
      </c>
      <c r="D141" s="313" t="s">
        <v>79</v>
      </c>
      <c r="E141" s="314" t="s">
        <v>47</v>
      </c>
      <c r="F141" s="315">
        <f>477+30+50+50</f>
        <v>607</v>
      </c>
      <c r="G141" s="316">
        <f>F141*12</f>
        <v>7284</v>
      </c>
      <c r="H141" s="316">
        <v>60</v>
      </c>
      <c r="I141" s="323"/>
      <c r="J141" s="316">
        <f>F141</f>
        <v>607</v>
      </c>
      <c r="K141" s="316">
        <v>300</v>
      </c>
      <c r="L141" s="324"/>
      <c r="M141" s="307">
        <v>125</v>
      </c>
      <c r="N141" s="307">
        <f>F141*0.0775*13</f>
        <v>611.55250000000001</v>
      </c>
      <c r="O141" s="307">
        <f>N141/13</f>
        <v>47.042500000000004</v>
      </c>
      <c r="P141" s="307"/>
      <c r="Q141" s="307"/>
      <c r="R141" s="307"/>
      <c r="S141" s="307">
        <f>F141*0.075*13</f>
        <v>591.82499999999993</v>
      </c>
      <c r="T141" s="307">
        <f>S141/13</f>
        <v>45.524999999999991</v>
      </c>
      <c r="U141" s="307"/>
      <c r="V141" s="307"/>
      <c r="W141" s="307">
        <f>N141+Q141+S141+U141+0.01</f>
        <v>1203.3875</v>
      </c>
      <c r="X141" s="307">
        <f>F141*0.01*13</f>
        <v>78.91</v>
      </c>
      <c r="Y141" s="307">
        <f>X141/13</f>
        <v>6.0699999999999994</v>
      </c>
      <c r="Z141" s="325"/>
      <c r="AA141" s="325"/>
      <c r="AB141" s="324"/>
      <c r="AC141" s="325"/>
      <c r="AD141" s="324"/>
      <c r="AE141" s="307"/>
      <c r="AF141" s="325"/>
      <c r="AG141" s="325"/>
      <c r="AH141" s="325"/>
      <c r="AI141" s="325"/>
      <c r="AJ141" s="324"/>
    </row>
    <row r="142" spans="1:36">
      <c r="A142" s="21"/>
      <c r="B142" s="139" t="s">
        <v>658</v>
      </c>
      <c r="C142" s="317"/>
      <c r="D142" s="313"/>
      <c r="E142" s="318"/>
      <c r="F142" s="319">
        <f t="shared" ref="F142:K142" si="103">SUM(F139:F141)</f>
        <v>2156.86</v>
      </c>
      <c r="G142" s="320">
        <f t="shared" si="103"/>
        <v>25882.32</v>
      </c>
      <c r="H142" s="320">
        <f t="shared" si="103"/>
        <v>180</v>
      </c>
      <c r="I142" s="320">
        <f t="shared" si="103"/>
        <v>0</v>
      </c>
      <c r="J142" s="320">
        <f t="shared" si="103"/>
        <v>2156.86</v>
      </c>
      <c r="K142" s="320">
        <f t="shared" si="103"/>
        <v>900</v>
      </c>
      <c r="L142" s="312"/>
      <c r="M142" s="312">
        <f t="shared" ref="M142:R142" si="104">SUM(M139:M141)</f>
        <v>250</v>
      </c>
      <c r="N142" s="312">
        <f t="shared" si="104"/>
        <v>1432.52395</v>
      </c>
      <c r="O142" s="312">
        <f t="shared" si="104"/>
        <v>110.19415000000001</v>
      </c>
      <c r="P142" s="312">
        <f t="shared" si="104"/>
        <v>0</v>
      </c>
      <c r="Q142" s="312">
        <f t="shared" si="104"/>
        <v>0</v>
      </c>
      <c r="R142" s="312">
        <f t="shared" si="104"/>
        <v>0</v>
      </c>
      <c r="S142" s="312">
        <f>SUM(S139:S141)+0.01</f>
        <v>2102.9485</v>
      </c>
      <c r="T142" s="312">
        <f t="shared" ref="T142:Y142" si="105">SUM(T139:T141)</f>
        <v>161.7645</v>
      </c>
      <c r="U142" s="312">
        <f t="shared" si="105"/>
        <v>573.30000000000007</v>
      </c>
      <c r="V142" s="312">
        <f t="shared" si="105"/>
        <v>47.775000000000006</v>
      </c>
      <c r="W142" s="312">
        <f t="shared" si="105"/>
        <v>4108.7724500000004</v>
      </c>
      <c r="X142" s="312">
        <f t="shared" si="105"/>
        <v>280.39179999999999</v>
      </c>
      <c r="Y142" s="312">
        <f t="shared" si="105"/>
        <v>21.5686</v>
      </c>
      <c r="Z142" s="312"/>
      <c r="AA142" s="312"/>
      <c r="AB142" s="312"/>
      <c r="AC142" s="312"/>
      <c r="AD142" s="312"/>
      <c r="AE142" s="312"/>
      <c r="AF142" s="312"/>
      <c r="AG142" s="312"/>
      <c r="AH142" s="312"/>
      <c r="AI142" s="312"/>
      <c r="AJ142" s="312"/>
    </row>
    <row r="143" spans="1:36" ht="66.75" customHeight="1">
      <c r="A143" s="21">
        <f>A141+1</f>
        <v>106</v>
      </c>
      <c r="B143" s="192" t="s">
        <v>785</v>
      </c>
      <c r="C143" s="140" t="s">
        <v>784</v>
      </c>
      <c r="D143" s="313" t="s">
        <v>759</v>
      </c>
      <c r="E143" s="314" t="s">
        <v>47</v>
      </c>
      <c r="F143" s="315">
        <v>1000</v>
      </c>
      <c r="G143" s="316">
        <f t="shared" ref="G143:G148" si="106">F143*12</f>
        <v>12000</v>
      </c>
      <c r="H143" s="316">
        <v>60</v>
      </c>
      <c r="I143" s="316"/>
      <c r="J143" s="316">
        <f t="shared" ref="J143:J148" si="107">F143</f>
        <v>1000</v>
      </c>
      <c r="K143" s="316">
        <v>300</v>
      </c>
      <c r="L143" s="307"/>
      <c r="M143" s="307"/>
      <c r="N143" s="307">
        <f t="shared" ref="N143:N148" si="108">F143*0.0775*13</f>
        <v>1007.5</v>
      </c>
      <c r="O143" s="321"/>
      <c r="P143" s="307">
        <f t="shared" ref="P143:P148" si="109">N143/13</f>
        <v>77.5</v>
      </c>
      <c r="Q143" s="307"/>
      <c r="R143" s="307"/>
      <c r="S143" s="307">
        <f t="shared" ref="S143:S148" si="110">F143*0.075*13</f>
        <v>975</v>
      </c>
      <c r="T143" s="307">
        <f t="shared" ref="T143:T148" si="111">S143/13</f>
        <v>75</v>
      </c>
      <c r="U143" s="307"/>
      <c r="V143" s="307"/>
      <c r="W143" s="307">
        <f t="shared" ref="W143:W148" si="112">N143+Q143+S143+U143</f>
        <v>1982.5</v>
      </c>
      <c r="X143" s="307">
        <f t="shared" ref="X143:X148" si="113">F143*0.01*13</f>
        <v>130</v>
      </c>
      <c r="Y143" s="307">
        <f t="shared" ref="Y143:Y148" si="114">X143/13</f>
        <v>10</v>
      </c>
      <c r="Z143" s="307"/>
      <c r="AA143" s="307"/>
      <c r="AB143" s="307"/>
      <c r="AC143" s="307"/>
      <c r="AD143" s="307"/>
      <c r="AE143" s="307"/>
      <c r="AF143" s="307"/>
      <c r="AG143" s="307"/>
      <c r="AH143" s="307"/>
      <c r="AI143" s="307"/>
      <c r="AJ143" s="307"/>
    </row>
    <row r="144" spans="1:36" ht="63.75" customHeight="1">
      <c r="A144" s="21">
        <f>A143+1</f>
        <v>107</v>
      </c>
      <c r="B144" s="147" t="s">
        <v>684</v>
      </c>
      <c r="C144" s="140" t="s">
        <v>784</v>
      </c>
      <c r="D144" s="313" t="s">
        <v>79</v>
      </c>
      <c r="E144" s="314" t="s">
        <v>47</v>
      </c>
      <c r="F144" s="315">
        <v>600</v>
      </c>
      <c r="G144" s="316">
        <f t="shared" si="106"/>
        <v>7200</v>
      </c>
      <c r="H144" s="316">
        <v>60</v>
      </c>
      <c r="I144" s="323"/>
      <c r="J144" s="316">
        <f t="shared" si="107"/>
        <v>600</v>
      </c>
      <c r="K144" s="316">
        <v>300</v>
      </c>
      <c r="L144" s="307"/>
      <c r="M144" s="307"/>
      <c r="N144" s="307">
        <f t="shared" si="108"/>
        <v>604.5</v>
      </c>
      <c r="O144" s="307"/>
      <c r="P144" s="307">
        <f t="shared" si="109"/>
        <v>46.5</v>
      </c>
      <c r="Q144" s="324"/>
      <c r="R144" s="324"/>
      <c r="S144" s="307">
        <f t="shared" si="110"/>
        <v>585</v>
      </c>
      <c r="T144" s="307">
        <f t="shared" si="111"/>
        <v>45</v>
      </c>
      <c r="U144" s="324"/>
      <c r="V144" s="324"/>
      <c r="W144" s="307">
        <f t="shared" si="112"/>
        <v>1189.5</v>
      </c>
      <c r="X144" s="307">
        <f t="shared" si="113"/>
        <v>78</v>
      </c>
      <c r="Y144" s="307">
        <f t="shared" si="114"/>
        <v>6</v>
      </c>
      <c r="Z144" s="324"/>
      <c r="AA144" s="324"/>
      <c r="AB144" s="324"/>
      <c r="AC144" s="324"/>
      <c r="AD144" s="324"/>
      <c r="AE144" s="307"/>
      <c r="AF144" s="324"/>
      <c r="AG144" s="324"/>
      <c r="AH144" s="324"/>
      <c r="AI144" s="324"/>
      <c r="AJ144" s="324"/>
    </row>
    <row r="145" spans="1:36" ht="67.5" customHeight="1">
      <c r="A145" s="21">
        <f>A144+1</f>
        <v>108</v>
      </c>
      <c r="B145" s="163" t="s">
        <v>704</v>
      </c>
      <c r="C145" s="140" t="s">
        <v>784</v>
      </c>
      <c r="D145" s="313" t="s">
        <v>79</v>
      </c>
      <c r="E145" s="314" t="s">
        <v>47</v>
      </c>
      <c r="F145" s="315">
        <f>712+30+50+50</f>
        <v>842</v>
      </c>
      <c r="G145" s="316">
        <f t="shared" si="106"/>
        <v>10104</v>
      </c>
      <c r="H145" s="316">
        <v>60</v>
      </c>
      <c r="I145" s="316"/>
      <c r="J145" s="316">
        <f t="shared" si="107"/>
        <v>842</v>
      </c>
      <c r="K145" s="316">
        <v>300</v>
      </c>
      <c r="L145" s="307"/>
      <c r="M145" s="307">
        <v>125</v>
      </c>
      <c r="N145" s="307">
        <f t="shared" si="108"/>
        <v>848.31499999999994</v>
      </c>
      <c r="O145" s="321"/>
      <c r="P145" s="307">
        <f t="shared" si="109"/>
        <v>65.254999999999995</v>
      </c>
      <c r="Q145" s="307"/>
      <c r="R145" s="307"/>
      <c r="S145" s="307">
        <f t="shared" si="110"/>
        <v>820.94999999999993</v>
      </c>
      <c r="T145" s="307">
        <f t="shared" si="111"/>
        <v>63.149999999999991</v>
      </c>
      <c r="U145" s="307"/>
      <c r="V145" s="307"/>
      <c r="W145" s="307">
        <f t="shared" si="112"/>
        <v>1669.2649999999999</v>
      </c>
      <c r="X145" s="307">
        <f t="shared" si="113"/>
        <v>109.46</v>
      </c>
      <c r="Y145" s="307">
        <f t="shared" si="114"/>
        <v>8.42</v>
      </c>
      <c r="Z145" s="307"/>
      <c r="AA145" s="307"/>
      <c r="AB145" s="307"/>
      <c r="AC145" s="307"/>
      <c r="AD145" s="307"/>
      <c r="AE145" s="307"/>
      <c r="AF145" s="307"/>
      <c r="AG145" s="307"/>
      <c r="AH145" s="307"/>
      <c r="AI145" s="307"/>
      <c r="AJ145" s="307"/>
    </row>
    <row r="146" spans="1:36" ht="67.5" customHeight="1">
      <c r="A146" s="21">
        <f t="shared" ref="A146:A148" si="115">A145+1</f>
        <v>109</v>
      </c>
      <c r="B146" s="163" t="s">
        <v>769</v>
      </c>
      <c r="C146" s="140" t="s">
        <v>784</v>
      </c>
      <c r="D146" s="313" t="s">
        <v>79</v>
      </c>
      <c r="E146" s="314" t="s">
        <v>47</v>
      </c>
      <c r="F146" s="315">
        <v>792</v>
      </c>
      <c r="G146" s="316">
        <f t="shared" si="106"/>
        <v>9504</v>
      </c>
      <c r="H146" s="316">
        <v>60</v>
      </c>
      <c r="I146" s="323"/>
      <c r="J146" s="316">
        <f t="shared" si="107"/>
        <v>792</v>
      </c>
      <c r="K146" s="316">
        <v>300</v>
      </c>
      <c r="L146" s="307"/>
      <c r="M146" s="307"/>
      <c r="N146" s="307">
        <f t="shared" si="108"/>
        <v>797.94</v>
      </c>
      <c r="O146" s="307"/>
      <c r="P146" s="307">
        <f t="shared" si="109"/>
        <v>61.38</v>
      </c>
      <c r="Q146" s="324"/>
      <c r="R146" s="324"/>
      <c r="S146" s="307">
        <f t="shared" si="110"/>
        <v>772.19999999999993</v>
      </c>
      <c r="T146" s="307">
        <f t="shared" si="111"/>
        <v>59.399999999999991</v>
      </c>
      <c r="U146" s="324"/>
      <c r="V146" s="324"/>
      <c r="W146" s="307">
        <f t="shared" si="112"/>
        <v>1570.1399999999999</v>
      </c>
      <c r="X146" s="307">
        <f t="shared" si="113"/>
        <v>102.96</v>
      </c>
      <c r="Y146" s="307">
        <f t="shared" si="114"/>
        <v>7.92</v>
      </c>
      <c r="Z146" s="324"/>
      <c r="AA146" s="324"/>
      <c r="AB146" s="324"/>
      <c r="AC146" s="324"/>
      <c r="AD146" s="324"/>
      <c r="AE146" s="307"/>
      <c r="AF146" s="324"/>
      <c r="AG146" s="324"/>
      <c r="AH146" s="324"/>
      <c r="AI146" s="324"/>
      <c r="AJ146" s="324"/>
    </row>
    <row r="147" spans="1:36" ht="63" customHeight="1">
      <c r="A147" s="21">
        <f t="shared" si="115"/>
        <v>110</v>
      </c>
      <c r="B147" s="163" t="s">
        <v>786</v>
      </c>
      <c r="C147" s="140" t="s">
        <v>784</v>
      </c>
      <c r="D147" s="313" t="s">
        <v>79</v>
      </c>
      <c r="E147" s="314" t="s">
        <v>47</v>
      </c>
      <c r="F147" s="315">
        <f>500+50</f>
        <v>550</v>
      </c>
      <c r="G147" s="316">
        <f t="shared" si="106"/>
        <v>6600</v>
      </c>
      <c r="H147" s="316">
        <v>60</v>
      </c>
      <c r="I147" s="323"/>
      <c r="J147" s="316">
        <f t="shared" si="107"/>
        <v>550</v>
      </c>
      <c r="K147" s="316">
        <v>300</v>
      </c>
      <c r="L147" s="307"/>
      <c r="M147" s="307"/>
      <c r="N147" s="307">
        <f t="shared" si="108"/>
        <v>554.125</v>
      </c>
      <c r="O147" s="307"/>
      <c r="P147" s="307">
        <f t="shared" si="109"/>
        <v>42.625</v>
      </c>
      <c r="Q147" s="324"/>
      <c r="R147" s="324"/>
      <c r="S147" s="307">
        <f t="shared" si="110"/>
        <v>536.25</v>
      </c>
      <c r="T147" s="307">
        <f t="shared" si="111"/>
        <v>41.25</v>
      </c>
      <c r="U147" s="324"/>
      <c r="V147" s="324"/>
      <c r="W147" s="307">
        <f t="shared" si="112"/>
        <v>1090.375</v>
      </c>
      <c r="X147" s="307">
        <f t="shared" si="113"/>
        <v>71.5</v>
      </c>
      <c r="Y147" s="307">
        <f t="shared" si="114"/>
        <v>5.5</v>
      </c>
      <c r="Z147" s="324"/>
      <c r="AA147" s="324"/>
      <c r="AB147" s="324"/>
      <c r="AC147" s="324"/>
      <c r="AD147" s="324"/>
      <c r="AE147" s="307"/>
      <c r="AF147" s="324"/>
      <c r="AG147" s="324"/>
      <c r="AH147" s="324"/>
      <c r="AI147" s="324"/>
      <c r="AJ147" s="324"/>
    </row>
    <row r="148" spans="1:36" ht="64.5" customHeight="1">
      <c r="A148" s="21">
        <f t="shared" si="115"/>
        <v>111</v>
      </c>
      <c r="B148" s="335" t="s">
        <v>786</v>
      </c>
      <c r="C148" s="140" t="s">
        <v>784</v>
      </c>
      <c r="D148" s="313" t="s">
        <v>762</v>
      </c>
      <c r="E148" s="314" t="s">
        <v>47</v>
      </c>
      <c r="F148" s="315">
        <v>500</v>
      </c>
      <c r="G148" s="316">
        <f t="shared" si="106"/>
        <v>6000</v>
      </c>
      <c r="H148" s="316">
        <v>60</v>
      </c>
      <c r="I148" s="323"/>
      <c r="J148" s="316">
        <f t="shared" si="107"/>
        <v>500</v>
      </c>
      <c r="K148" s="316">
        <v>300</v>
      </c>
      <c r="L148" s="307"/>
      <c r="M148" s="307"/>
      <c r="N148" s="307">
        <f t="shared" si="108"/>
        <v>503.75</v>
      </c>
      <c r="O148" s="307"/>
      <c r="P148" s="307">
        <f t="shared" si="109"/>
        <v>38.75</v>
      </c>
      <c r="Q148" s="324"/>
      <c r="R148" s="324"/>
      <c r="S148" s="307">
        <f t="shared" si="110"/>
        <v>487.5</v>
      </c>
      <c r="T148" s="307">
        <f t="shared" si="111"/>
        <v>37.5</v>
      </c>
      <c r="U148" s="324"/>
      <c r="V148" s="324"/>
      <c r="W148" s="307">
        <f t="shared" si="112"/>
        <v>991.25</v>
      </c>
      <c r="X148" s="307">
        <f t="shared" si="113"/>
        <v>65</v>
      </c>
      <c r="Y148" s="307">
        <f t="shared" si="114"/>
        <v>5</v>
      </c>
      <c r="Z148" s="324"/>
      <c r="AA148" s="324"/>
      <c r="AB148" s="324"/>
      <c r="AC148" s="324"/>
      <c r="AD148" s="324"/>
      <c r="AE148" s="307"/>
      <c r="AF148" s="324"/>
      <c r="AG148" s="324"/>
      <c r="AH148" s="324"/>
      <c r="AI148" s="324"/>
      <c r="AJ148" s="324"/>
    </row>
    <row r="149" spans="1:36" ht="21.75" customHeight="1">
      <c r="A149" s="49"/>
      <c r="B149" s="459" t="s">
        <v>196</v>
      </c>
      <c r="C149" s="460"/>
      <c r="D149" s="460"/>
      <c r="E149" s="461"/>
      <c r="F149" s="319">
        <f t="shared" ref="F149:K149" si="116">SUM(F143:F148)</f>
        <v>4284</v>
      </c>
      <c r="G149" s="320">
        <f t="shared" si="116"/>
        <v>51408</v>
      </c>
      <c r="H149" s="320">
        <f t="shared" si="116"/>
        <v>360</v>
      </c>
      <c r="I149" s="320">
        <f t="shared" si="116"/>
        <v>0</v>
      </c>
      <c r="J149" s="320">
        <f t="shared" si="116"/>
        <v>4284</v>
      </c>
      <c r="K149" s="320">
        <f t="shared" si="116"/>
        <v>1800</v>
      </c>
      <c r="L149" s="312"/>
      <c r="M149" s="312">
        <f>SUM(M143:M148)</f>
        <v>125</v>
      </c>
      <c r="N149" s="312">
        <f>SUM(N143:N148)+0.01</f>
        <v>4316.1400000000003</v>
      </c>
      <c r="O149" s="312">
        <f t="shared" ref="O149:U149" si="117">SUM(O143:O148)</f>
        <v>0</v>
      </c>
      <c r="P149" s="312">
        <f t="shared" si="117"/>
        <v>332.01</v>
      </c>
      <c r="Q149" s="312">
        <f t="shared" si="117"/>
        <v>0</v>
      </c>
      <c r="R149" s="312">
        <f t="shared" si="117"/>
        <v>0</v>
      </c>
      <c r="S149" s="312">
        <f>SUM(S143:S148)</f>
        <v>4176.8999999999996</v>
      </c>
      <c r="T149" s="312">
        <f>SUM(T143:T148)+0.01</f>
        <v>321.30999999999995</v>
      </c>
      <c r="U149" s="312">
        <f t="shared" si="117"/>
        <v>0</v>
      </c>
      <c r="V149" s="312">
        <f>SUM(V143:V143)</f>
        <v>0</v>
      </c>
      <c r="W149" s="312">
        <f>SUM(W143:W148)</f>
        <v>8493.0299999999988</v>
      </c>
      <c r="X149" s="312">
        <f>SUM(X143:X148)</f>
        <v>556.91999999999996</v>
      </c>
      <c r="Y149" s="312">
        <f>SUM(Y143:Y148)</f>
        <v>42.84</v>
      </c>
      <c r="Z149" s="312"/>
      <c r="AA149" s="312"/>
      <c r="AB149" s="312"/>
      <c r="AC149" s="312"/>
      <c r="AD149" s="312"/>
      <c r="AE149" s="312"/>
      <c r="AF149" s="312"/>
      <c r="AG149" s="312"/>
      <c r="AH149" s="312"/>
      <c r="AI149" s="312"/>
      <c r="AJ149" s="312"/>
    </row>
    <row r="150" spans="1:36">
      <c r="A150" s="21"/>
      <c r="B150" s="456" t="s">
        <v>719</v>
      </c>
      <c r="C150" s="457"/>
      <c r="D150" s="457"/>
      <c r="E150" s="458"/>
      <c r="F150" s="319">
        <f t="shared" ref="F150:M150" si="118">SUM(F111,F149,F142,F138,F136,F116,F107,F104,F101,F96,F89,F46,F43,F38,F35,F30,F26,F23,F20)</f>
        <v>80055.75</v>
      </c>
      <c r="G150" s="319">
        <f t="shared" si="118"/>
        <v>960669</v>
      </c>
      <c r="H150" s="319">
        <f t="shared" si="118"/>
        <v>6660</v>
      </c>
      <c r="I150" s="319">
        <f>SUM(I111,I149,I142,I138,I136,I116,I107,I104,I101,I96,I89,I46,I43,I38,I35,I30,I26,I23,I20)</f>
        <v>157000</v>
      </c>
      <c r="J150" s="319">
        <f t="shared" si="118"/>
        <v>83055.75</v>
      </c>
      <c r="K150" s="319">
        <f t="shared" si="118"/>
        <v>33300</v>
      </c>
      <c r="L150" s="319">
        <f t="shared" si="118"/>
        <v>12950</v>
      </c>
      <c r="M150" s="319">
        <f t="shared" si="118"/>
        <v>6375</v>
      </c>
      <c r="N150" s="319">
        <f>SUM(N111,N149,N142,N138,N136,N116,N107,N104,N101,N96,N89,N46,N43,N38,N35,N30,N26,N23,N20)+0.02</f>
        <v>106025.9945</v>
      </c>
      <c r="O150" s="319">
        <f>SUM(O111,O149,O142,O138,O136,O116,O107,O104,O101,O96,O89,O46,O43,O38,O35,O30,O26,O23,O20)+0.01</f>
        <v>4094.5532499999999</v>
      </c>
      <c r="P150" s="319">
        <f>SUM(P111,P149,P142,P138,P136,P116,P107,P104,P101,P96,P89,P46,P43,P38,P35,P30,P26,P23,P20)+0.02</f>
        <v>4061.3932499999996</v>
      </c>
      <c r="Q150" s="319">
        <f t="shared" ref="Q150:AJ150" si="119">SUM(Q111,Q149,Q142,Q138,Q136,Q116,Q107,Q104,Q101,Q96,Q89,Q46,Q43,Q38,Q35,Q30,Q26,Q23,Q20)</f>
        <v>0</v>
      </c>
      <c r="R150" s="319">
        <f t="shared" si="119"/>
        <v>0</v>
      </c>
      <c r="S150" s="319">
        <f>SUM(S111,S149,S142,S138,S136,S116,S107,S104,S101,S96,S89,S46,S43,S38,S35,S30,S26,S23,S20)+0.04</f>
        <v>82539.686250000013</v>
      </c>
      <c r="T150" s="319">
        <f t="shared" si="119"/>
        <v>6349.3812500000013</v>
      </c>
      <c r="U150" s="319">
        <f t="shared" si="119"/>
        <v>4382.9369999999999</v>
      </c>
      <c r="V150" s="319">
        <f t="shared" si="119"/>
        <v>353.98975000000002</v>
      </c>
      <c r="W150" s="319">
        <f t="shared" si="119"/>
        <v>192948.53775000002</v>
      </c>
      <c r="X150" s="319">
        <f t="shared" si="119"/>
        <v>11011.747499999998</v>
      </c>
      <c r="Y150" s="319">
        <f t="shared" si="119"/>
        <v>847.05749999999989</v>
      </c>
      <c r="Z150" s="319">
        <f t="shared" si="119"/>
        <v>959.94642857142856</v>
      </c>
      <c r="AA150" s="319">
        <f>SUM(AA111,AA149,AA142,AA138,AA136,AA116,AA107,AA104,AA101,AA96,AA89,AA46,AA43,AA38,AA35,AA30,AA26,AA23,AA20)-0.01</f>
        <v>74.385848214285716</v>
      </c>
      <c r="AB150" s="319">
        <f t="shared" si="119"/>
        <v>0</v>
      </c>
      <c r="AC150" s="319">
        <f t="shared" si="119"/>
        <v>71.995982142857144</v>
      </c>
      <c r="AD150" s="319">
        <f t="shared" si="119"/>
        <v>0</v>
      </c>
      <c r="AE150" s="319">
        <f t="shared" si="119"/>
        <v>146.39183035714285</v>
      </c>
      <c r="AF150" s="319">
        <f t="shared" si="119"/>
        <v>9.5994642857142853</v>
      </c>
      <c r="AG150" s="319">
        <f t="shared" si="119"/>
        <v>60000</v>
      </c>
      <c r="AH150" s="319">
        <f t="shared" si="119"/>
        <v>150000</v>
      </c>
      <c r="AI150" s="319">
        <f t="shared" si="119"/>
        <v>20000</v>
      </c>
      <c r="AJ150" s="319">
        <f t="shared" si="119"/>
        <v>400400</v>
      </c>
    </row>
    <row r="151" spans="1:36" ht="15" customHeight="1">
      <c r="A151" s="21">
        <f>A148+1</f>
        <v>112</v>
      </c>
      <c r="B151" s="147" t="s">
        <v>207</v>
      </c>
      <c r="C151" s="107" t="s">
        <v>208</v>
      </c>
      <c r="D151" s="313" t="s">
        <v>79</v>
      </c>
      <c r="E151" s="314" t="s">
        <v>209</v>
      </c>
      <c r="F151" s="315">
        <v>1900</v>
      </c>
      <c r="G151" s="316">
        <f t="shared" ref="G151:G156" si="120">F151*12</f>
        <v>22800</v>
      </c>
      <c r="H151" s="316">
        <v>60</v>
      </c>
      <c r="I151" s="316"/>
      <c r="J151" s="316">
        <f>F151</f>
        <v>1900</v>
      </c>
      <c r="K151" s="316">
        <v>300</v>
      </c>
      <c r="L151" s="307"/>
      <c r="M151" s="307"/>
      <c r="N151" s="307">
        <f>F151*0.0775*13</f>
        <v>1914.25</v>
      </c>
      <c r="O151" s="307">
        <f>N151/13</f>
        <v>147.25</v>
      </c>
      <c r="P151" s="307"/>
      <c r="Q151" s="307"/>
      <c r="R151" s="307"/>
      <c r="S151" s="307">
        <v>975</v>
      </c>
      <c r="T151" s="307">
        <f t="shared" ref="T151:T156" si="121">S151/13</f>
        <v>75</v>
      </c>
      <c r="U151" s="307"/>
      <c r="V151" s="307"/>
      <c r="W151" s="307">
        <f>N151+Q151+S151+U151</f>
        <v>2889.25</v>
      </c>
      <c r="X151" s="307">
        <v>130</v>
      </c>
      <c r="Y151" s="307">
        <f t="shared" ref="Y151:Y156" si="122">X151/13</f>
        <v>10</v>
      </c>
      <c r="Z151" s="307"/>
      <c r="AA151" s="307"/>
      <c r="AB151" s="307"/>
      <c r="AC151" s="307"/>
      <c r="AD151" s="307"/>
      <c r="AE151" s="307"/>
      <c r="AF151" s="307"/>
      <c r="AG151" s="307"/>
      <c r="AH151" s="307"/>
      <c r="AI151" s="307"/>
      <c r="AJ151" s="307"/>
    </row>
    <row r="152" spans="1:36" ht="15" customHeight="1">
      <c r="A152" s="21">
        <f>A151+1</f>
        <v>113</v>
      </c>
      <c r="B152" s="147" t="s">
        <v>211</v>
      </c>
      <c r="C152" s="107" t="s">
        <v>208</v>
      </c>
      <c r="D152" s="313" t="s">
        <v>79</v>
      </c>
      <c r="E152" s="314" t="s">
        <v>209</v>
      </c>
      <c r="F152" s="315">
        <v>547</v>
      </c>
      <c r="G152" s="316">
        <f>F152*12</f>
        <v>6564</v>
      </c>
      <c r="H152" s="316">
        <v>60</v>
      </c>
      <c r="I152" s="323"/>
      <c r="J152" s="316">
        <f>F152</f>
        <v>547</v>
      </c>
      <c r="K152" s="316">
        <v>300</v>
      </c>
      <c r="L152" s="307"/>
      <c r="M152" s="307"/>
      <c r="N152" s="307">
        <f>F152*0.0775*13</f>
        <v>551.10249999999996</v>
      </c>
      <c r="O152" s="307">
        <f>N152/13</f>
        <v>42.392499999999998</v>
      </c>
      <c r="P152" s="307"/>
      <c r="Q152" s="324"/>
      <c r="R152" s="324"/>
      <c r="S152" s="307">
        <f>F152*0.075*13</f>
        <v>533.32499999999993</v>
      </c>
      <c r="T152" s="307">
        <f>S152/13</f>
        <v>41.024999999999991</v>
      </c>
      <c r="U152" s="324"/>
      <c r="V152" s="324"/>
      <c r="W152" s="307">
        <f>N152+Q152+S152+U152</f>
        <v>1084.4274999999998</v>
      </c>
      <c r="X152" s="307">
        <f>F152*0.01*13</f>
        <v>71.11</v>
      </c>
      <c r="Y152" s="307">
        <f>X152/13</f>
        <v>5.47</v>
      </c>
      <c r="Z152" s="324"/>
      <c r="AA152" s="324"/>
      <c r="AB152" s="324"/>
      <c r="AC152" s="324"/>
      <c r="AD152" s="324"/>
      <c r="AE152" s="307"/>
      <c r="AF152" s="324"/>
      <c r="AG152" s="324"/>
      <c r="AH152" s="324"/>
      <c r="AI152" s="324"/>
      <c r="AJ152" s="324"/>
    </row>
    <row r="153" spans="1:36" ht="15" customHeight="1">
      <c r="A153" s="21">
        <f t="shared" ref="A153:A154" si="123">A152+1</f>
        <v>114</v>
      </c>
      <c r="B153" s="147" t="s">
        <v>213</v>
      </c>
      <c r="C153" s="107" t="s">
        <v>208</v>
      </c>
      <c r="D153" s="313" t="s">
        <v>79</v>
      </c>
      <c r="E153" s="314" t="s">
        <v>209</v>
      </c>
      <c r="F153" s="315">
        <f>597+30+50+50</f>
        <v>727</v>
      </c>
      <c r="G153" s="316">
        <f t="shared" si="120"/>
        <v>8724</v>
      </c>
      <c r="H153" s="316">
        <v>60</v>
      </c>
      <c r="I153" s="316"/>
      <c r="J153" s="316">
        <f>F153</f>
        <v>727</v>
      </c>
      <c r="K153" s="316">
        <v>300</v>
      </c>
      <c r="L153" s="307"/>
      <c r="M153" s="307"/>
      <c r="N153" s="307">
        <f>F153*0.0775*13</f>
        <v>732.45249999999999</v>
      </c>
      <c r="O153" s="307"/>
      <c r="P153" s="307">
        <f>N153/13</f>
        <v>56.342500000000001</v>
      </c>
      <c r="Q153" s="307"/>
      <c r="R153" s="307"/>
      <c r="S153" s="307">
        <f>F153*0.075*13</f>
        <v>708.82499999999993</v>
      </c>
      <c r="T153" s="307">
        <f t="shared" si="121"/>
        <v>54.524999999999991</v>
      </c>
      <c r="U153" s="307"/>
      <c r="V153" s="307"/>
      <c r="W153" s="307">
        <f t="shared" ref="W153:W156" si="124">N153+Q153+S153+U153+0.01</f>
        <v>1441.2874999999999</v>
      </c>
      <c r="X153" s="307">
        <f>F153*0.01*13</f>
        <v>94.51</v>
      </c>
      <c r="Y153" s="307">
        <f t="shared" si="122"/>
        <v>7.2700000000000005</v>
      </c>
      <c r="Z153" s="307"/>
      <c r="AA153" s="307"/>
      <c r="AB153" s="307"/>
      <c r="AC153" s="307"/>
      <c r="AD153" s="307"/>
      <c r="AE153" s="307"/>
      <c r="AF153" s="307"/>
      <c r="AG153" s="307"/>
      <c r="AH153" s="307"/>
      <c r="AI153" s="307"/>
      <c r="AJ153" s="307"/>
    </row>
    <row r="154" spans="1:36" ht="15" customHeight="1">
      <c r="A154" s="21">
        <f t="shared" si="123"/>
        <v>115</v>
      </c>
      <c r="B154" s="163" t="s">
        <v>215</v>
      </c>
      <c r="C154" s="107" t="s">
        <v>208</v>
      </c>
      <c r="D154" s="313" t="s">
        <v>79</v>
      </c>
      <c r="E154" s="314" t="s">
        <v>209</v>
      </c>
      <c r="F154" s="315">
        <f>467+30+50+50</f>
        <v>597</v>
      </c>
      <c r="G154" s="316">
        <f>F154*12</f>
        <v>7164</v>
      </c>
      <c r="H154" s="316">
        <v>60</v>
      </c>
      <c r="I154" s="316"/>
      <c r="J154" s="316">
        <f>F154</f>
        <v>597</v>
      </c>
      <c r="K154" s="316">
        <v>300</v>
      </c>
      <c r="L154" s="307"/>
      <c r="M154" s="307"/>
      <c r="N154" s="307">
        <f>F154*0.0775*13</f>
        <v>601.47749999999996</v>
      </c>
      <c r="O154" s="309"/>
      <c r="P154" s="307">
        <f>N154/13</f>
        <v>46.267499999999998</v>
      </c>
      <c r="Q154" s="307"/>
      <c r="R154" s="307"/>
      <c r="S154" s="307">
        <f>F154*0.075*13</f>
        <v>582.07499999999993</v>
      </c>
      <c r="T154" s="307">
        <f>S154/13</f>
        <v>44.774999999999991</v>
      </c>
      <c r="U154" s="307"/>
      <c r="V154" s="307"/>
      <c r="W154" s="307">
        <f>N154+Q154+S154+U154</f>
        <v>1183.5524999999998</v>
      </c>
      <c r="X154" s="307">
        <f>F154*0.01*13</f>
        <v>77.61</v>
      </c>
      <c r="Y154" s="307">
        <f>X154/13</f>
        <v>5.97</v>
      </c>
      <c r="Z154" s="307"/>
      <c r="AA154" s="307"/>
      <c r="AB154" s="307"/>
      <c r="AC154" s="307"/>
      <c r="AD154" s="307"/>
      <c r="AE154" s="307"/>
      <c r="AF154" s="307"/>
      <c r="AG154" s="307"/>
      <c r="AH154" s="307"/>
      <c r="AI154" s="307"/>
      <c r="AJ154" s="307"/>
    </row>
    <row r="155" spans="1:36" ht="10.5" customHeight="1">
      <c r="A155" s="21"/>
      <c r="B155" s="138"/>
      <c r="C155" s="107"/>
      <c r="D155" s="313"/>
      <c r="E155" s="314"/>
      <c r="F155" s="319"/>
      <c r="G155" s="319"/>
      <c r="H155" s="319"/>
      <c r="I155" s="319"/>
      <c r="J155" s="319"/>
      <c r="K155" s="319"/>
      <c r="L155" s="319"/>
      <c r="M155" s="319"/>
      <c r="N155" s="319"/>
      <c r="O155" s="319"/>
      <c r="P155" s="319"/>
      <c r="Q155" s="319"/>
      <c r="R155" s="319"/>
      <c r="S155" s="319"/>
      <c r="T155" s="319"/>
      <c r="U155" s="319"/>
      <c r="V155" s="319"/>
      <c r="W155" s="319"/>
      <c r="X155" s="319"/>
      <c r="Y155" s="319"/>
      <c r="Z155" s="319"/>
      <c r="AA155" s="319"/>
      <c r="AB155" s="319"/>
      <c r="AC155" s="319"/>
      <c r="AD155" s="319"/>
      <c r="AE155" s="319"/>
      <c r="AF155" s="319"/>
      <c r="AG155" s="319"/>
      <c r="AH155" s="319"/>
      <c r="AI155" s="319"/>
      <c r="AJ155" s="319"/>
    </row>
    <row r="156" spans="1:36" ht="19.5">
      <c r="A156" s="21">
        <f>A154+1</f>
        <v>116</v>
      </c>
      <c r="B156" s="163" t="s">
        <v>217</v>
      </c>
      <c r="C156" s="107" t="s">
        <v>208</v>
      </c>
      <c r="D156" s="313" t="s">
        <v>79</v>
      </c>
      <c r="E156" s="314" t="s">
        <v>209</v>
      </c>
      <c r="F156" s="315">
        <v>800</v>
      </c>
      <c r="G156" s="316">
        <f t="shared" si="120"/>
        <v>9600</v>
      </c>
      <c r="H156" s="316">
        <v>60</v>
      </c>
      <c r="I156" s="316"/>
      <c r="J156" s="316">
        <f>F156</f>
        <v>800</v>
      </c>
      <c r="K156" s="316">
        <v>300</v>
      </c>
      <c r="L156" s="307"/>
      <c r="M156" s="307">
        <v>125</v>
      </c>
      <c r="N156" s="307">
        <f>F156*0.0775*13</f>
        <v>806</v>
      </c>
      <c r="O156" s="307">
        <f>N156/13</f>
        <v>62</v>
      </c>
      <c r="P156" s="307"/>
      <c r="Q156" s="307"/>
      <c r="R156" s="307"/>
      <c r="S156" s="307">
        <f>F156*0.075*13</f>
        <v>780</v>
      </c>
      <c r="T156" s="307">
        <f t="shared" si="121"/>
        <v>60</v>
      </c>
      <c r="U156" s="307"/>
      <c r="V156" s="307"/>
      <c r="W156" s="307">
        <f t="shared" si="124"/>
        <v>1586.01</v>
      </c>
      <c r="X156" s="307">
        <f>F156*0.01*13</f>
        <v>104</v>
      </c>
      <c r="Y156" s="307">
        <f t="shared" si="122"/>
        <v>8</v>
      </c>
      <c r="Z156" s="307"/>
      <c r="AA156" s="307"/>
      <c r="AB156" s="307"/>
      <c r="AC156" s="307"/>
      <c r="AD156" s="307"/>
      <c r="AE156" s="307"/>
      <c r="AF156" s="307"/>
      <c r="AG156" s="307"/>
      <c r="AH156" s="307"/>
      <c r="AI156" s="307"/>
      <c r="AJ156" s="307"/>
    </row>
    <row r="157" spans="1:36">
      <c r="A157" s="52">
        <f>A156+1</f>
        <v>117</v>
      </c>
      <c r="B157" s="339" t="s">
        <v>219</v>
      </c>
      <c r="C157" s="107" t="s">
        <v>208</v>
      </c>
      <c r="D157" s="313" t="s">
        <v>762</v>
      </c>
      <c r="E157" s="314" t="s">
        <v>209</v>
      </c>
      <c r="F157" s="315">
        <v>417</v>
      </c>
      <c r="G157" s="316">
        <f>F157*12</f>
        <v>5004</v>
      </c>
      <c r="H157" s="316">
        <v>60</v>
      </c>
      <c r="I157" s="323"/>
      <c r="J157" s="316">
        <f>F157</f>
        <v>417</v>
      </c>
      <c r="K157" s="316">
        <v>300</v>
      </c>
      <c r="L157" s="324"/>
      <c r="M157" s="307"/>
      <c r="N157" s="307">
        <f>F157*0.0775*13</f>
        <v>420.12750000000005</v>
      </c>
      <c r="O157" s="321"/>
      <c r="P157" s="307">
        <f>N157/13</f>
        <v>32.317500000000003</v>
      </c>
      <c r="Q157" s="307"/>
      <c r="R157" s="307"/>
      <c r="S157" s="307">
        <f>F157*0.075*13</f>
        <v>406.57499999999999</v>
      </c>
      <c r="T157" s="307">
        <f>S157/13</f>
        <v>31.274999999999999</v>
      </c>
      <c r="U157" s="307"/>
      <c r="V157" s="307"/>
      <c r="W157" s="307">
        <f>N157+Q157+S157+U157</f>
        <v>826.7025000000001</v>
      </c>
      <c r="X157" s="307">
        <f>F157*0.01*13</f>
        <v>54.21</v>
      </c>
      <c r="Y157" s="307">
        <f>X157/13</f>
        <v>4.17</v>
      </c>
      <c r="Z157" s="325"/>
      <c r="AA157" s="325"/>
      <c r="AB157" s="324"/>
      <c r="AC157" s="325"/>
      <c r="AD157" s="324"/>
      <c r="AE157" s="307"/>
      <c r="AF157" s="325"/>
      <c r="AG157" s="325"/>
      <c r="AH157" s="325"/>
      <c r="AI157" s="325"/>
      <c r="AJ157" s="324"/>
    </row>
    <row r="158" spans="1:36" ht="10.5" customHeight="1">
      <c r="A158" s="21"/>
      <c r="B158" s="138"/>
      <c r="C158" s="317"/>
      <c r="D158" s="313"/>
      <c r="E158" s="314"/>
      <c r="F158" s="319"/>
      <c r="G158" s="319"/>
      <c r="H158" s="319"/>
      <c r="I158" s="319"/>
      <c r="J158" s="319"/>
      <c r="K158" s="319"/>
      <c r="L158" s="319"/>
      <c r="M158" s="319"/>
      <c r="N158" s="319"/>
      <c r="O158" s="319"/>
      <c r="P158" s="319"/>
      <c r="Q158" s="319"/>
      <c r="R158" s="319"/>
      <c r="S158" s="319"/>
      <c r="T158" s="319"/>
      <c r="U158" s="319"/>
      <c r="V158" s="319"/>
      <c r="W158" s="319"/>
      <c r="X158" s="319"/>
      <c r="Y158" s="319"/>
      <c r="Z158" s="319"/>
      <c r="AA158" s="319"/>
      <c r="AB158" s="319"/>
      <c r="AC158" s="319"/>
      <c r="AD158" s="319"/>
      <c r="AE158" s="319"/>
      <c r="AF158" s="319"/>
      <c r="AG158" s="319"/>
      <c r="AH158" s="319"/>
      <c r="AI158" s="319"/>
      <c r="AJ158" s="319"/>
    </row>
    <row r="159" spans="1:36" ht="22.5" customHeight="1">
      <c r="A159" s="21"/>
      <c r="B159" s="459" t="s">
        <v>777</v>
      </c>
      <c r="C159" s="460"/>
      <c r="D159" s="461"/>
      <c r="E159" s="314" t="s">
        <v>209</v>
      </c>
      <c r="F159" s="319">
        <f>SUM(F151:F158)</f>
        <v>4988</v>
      </c>
      <c r="G159" s="319">
        <f t="shared" ref="G159:AJ159" si="125">SUM(G151:G158)</f>
        <v>59856</v>
      </c>
      <c r="H159" s="319">
        <f>SUM(H151:H158)</f>
        <v>360</v>
      </c>
      <c r="I159" s="319">
        <f t="shared" si="125"/>
        <v>0</v>
      </c>
      <c r="J159" s="319">
        <f>SUM(J151:J158)</f>
        <v>4988</v>
      </c>
      <c r="K159" s="319">
        <f>SUM(K151:K158)</f>
        <v>1800</v>
      </c>
      <c r="L159" s="319">
        <f t="shared" si="125"/>
        <v>0</v>
      </c>
      <c r="M159" s="319">
        <f t="shared" si="125"/>
        <v>125</v>
      </c>
      <c r="N159" s="319">
        <f t="shared" si="125"/>
        <v>5025.41</v>
      </c>
      <c r="O159" s="319">
        <f t="shared" si="125"/>
        <v>251.64249999999998</v>
      </c>
      <c r="P159" s="319">
        <f t="shared" si="125"/>
        <v>134.92750000000001</v>
      </c>
      <c r="Q159" s="319">
        <f t="shared" si="125"/>
        <v>0</v>
      </c>
      <c r="R159" s="319">
        <f t="shared" si="125"/>
        <v>0</v>
      </c>
      <c r="S159" s="319">
        <f>SUM(S151:S158)+0.02</f>
        <v>3985.8199999999993</v>
      </c>
      <c r="T159" s="319">
        <f t="shared" si="125"/>
        <v>306.59999999999997</v>
      </c>
      <c r="U159" s="319">
        <f t="shared" si="125"/>
        <v>0</v>
      </c>
      <c r="V159" s="319">
        <f t="shared" si="125"/>
        <v>0</v>
      </c>
      <c r="W159" s="319">
        <f t="shared" si="125"/>
        <v>9011.23</v>
      </c>
      <c r="X159" s="319">
        <f t="shared" si="125"/>
        <v>531.44000000000005</v>
      </c>
      <c r="Y159" s="319">
        <f t="shared" si="125"/>
        <v>40.879999999999995</v>
      </c>
      <c r="Z159" s="319">
        <f t="shared" si="125"/>
        <v>0</v>
      </c>
      <c r="AA159" s="319">
        <f t="shared" si="125"/>
        <v>0</v>
      </c>
      <c r="AB159" s="319">
        <f t="shared" si="125"/>
        <v>0</v>
      </c>
      <c r="AC159" s="319">
        <f t="shared" si="125"/>
        <v>0</v>
      </c>
      <c r="AD159" s="319">
        <f t="shared" si="125"/>
        <v>0</v>
      </c>
      <c r="AE159" s="319">
        <f t="shared" si="125"/>
        <v>0</v>
      </c>
      <c r="AF159" s="319">
        <f t="shared" si="125"/>
        <v>0</v>
      </c>
      <c r="AG159" s="319">
        <f t="shared" si="125"/>
        <v>0</v>
      </c>
      <c r="AH159" s="319">
        <f t="shared" si="125"/>
        <v>0</v>
      </c>
      <c r="AI159" s="319">
        <f t="shared" si="125"/>
        <v>0</v>
      </c>
      <c r="AJ159" s="319">
        <f t="shared" si="125"/>
        <v>0</v>
      </c>
    </row>
    <row r="160" spans="1:36" s="360" customFormat="1" ht="19.5" customHeight="1">
      <c r="A160" s="354">
        <f>A157+1</f>
        <v>118</v>
      </c>
      <c r="B160" s="163" t="s">
        <v>222</v>
      </c>
      <c r="C160" s="107" t="s">
        <v>223</v>
      </c>
      <c r="D160" s="313" t="s">
        <v>79</v>
      </c>
      <c r="E160" s="355" t="s">
        <v>209</v>
      </c>
      <c r="F160" s="330">
        <v>1100</v>
      </c>
      <c r="G160" s="356">
        <f t="shared" ref="G160:G177" si="126">F160*12</f>
        <v>13200</v>
      </c>
      <c r="H160" s="356">
        <v>60</v>
      </c>
      <c r="I160" s="356"/>
      <c r="J160" s="356">
        <f t="shared" ref="J160:J179" si="127">F160</f>
        <v>1100</v>
      </c>
      <c r="K160" s="356">
        <v>300</v>
      </c>
      <c r="L160" s="357"/>
      <c r="M160" s="357">
        <v>125</v>
      </c>
      <c r="N160" s="357">
        <f t="shared" ref="N160:N179" si="128">F160*0.0775*13</f>
        <v>1108.25</v>
      </c>
      <c r="O160" s="358"/>
      <c r="P160" s="357">
        <f>N160/13</f>
        <v>85.25</v>
      </c>
      <c r="Q160" s="359"/>
      <c r="R160" s="359"/>
      <c r="S160" s="357">
        <f t="shared" ref="S160:S179" si="129">F160*0.075*13</f>
        <v>1072.5</v>
      </c>
      <c r="T160" s="357">
        <f t="shared" ref="T160:T179" si="130">S160/13</f>
        <v>82.5</v>
      </c>
      <c r="U160" s="359"/>
      <c r="V160" s="359"/>
      <c r="W160" s="357">
        <f>N160+Q160+S160+U160</f>
        <v>2180.75</v>
      </c>
      <c r="X160" s="357">
        <v>130</v>
      </c>
      <c r="Y160" s="357">
        <f t="shared" ref="Y160:Y179" si="131">X160/13</f>
        <v>10</v>
      </c>
      <c r="Z160" s="357"/>
      <c r="AA160" s="357"/>
      <c r="AB160" s="359"/>
      <c r="AC160" s="357"/>
      <c r="AD160" s="359"/>
      <c r="AE160" s="357"/>
      <c r="AF160" s="357"/>
      <c r="AG160" s="357"/>
      <c r="AH160" s="357"/>
      <c r="AI160" s="357"/>
      <c r="AJ160" s="359"/>
    </row>
    <row r="161" spans="1:36" s="360" customFormat="1" ht="19.5" customHeight="1">
      <c r="A161" s="361">
        <f t="shared" ref="A161:A179" si="132">A160+1</f>
        <v>119</v>
      </c>
      <c r="B161" s="163" t="s">
        <v>696</v>
      </c>
      <c r="C161" s="107" t="s">
        <v>223</v>
      </c>
      <c r="D161" s="313" t="s">
        <v>79</v>
      </c>
      <c r="E161" s="355" t="s">
        <v>209</v>
      </c>
      <c r="F161" s="330">
        <f>920+30+50</f>
        <v>1000</v>
      </c>
      <c r="G161" s="356">
        <f>F161*12</f>
        <v>12000</v>
      </c>
      <c r="H161" s="356">
        <v>60</v>
      </c>
      <c r="I161" s="362"/>
      <c r="J161" s="356">
        <f t="shared" si="127"/>
        <v>1000</v>
      </c>
      <c r="K161" s="356">
        <v>300</v>
      </c>
      <c r="L161" s="357"/>
      <c r="M161" s="357">
        <v>125</v>
      </c>
      <c r="N161" s="357">
        <f t="shared" si="128"/>
        <v>1007.5</v>
      </c>
      <c r="O161" s="358"/>
      <c r="P161" s="357">
        <f>N161/13</f>
        <v>77.5</v>
      </c>
      <c r="Q161" s="359"/>
      <c r="R161" s="359"/>
      <c r="S161" s="357">
        <f t="shared" si="129"/>
        <v>975</v>
      </c>
      <c r="T161" s="357">
        <f>S161/13</f>
        <v>75</v>
      </c>
      <c r="U161" s="359"/>
      <c r="V161" s="359"/>
      <c r="W161" s="357">
        <f>N161+Q161+S161+U161</f>
        <v>1982.5</v>
      </c>
      <c r="X161" s="357">
        <f t="shared" ref="X161:X179" si="133">F161*0.01*13</f>
        <v>130</v>
      </c>
      <c r="Y161" s="357">
        <f>X161/13</f>
        <v>10</v>
      </c>
      <c r="Z161" s="363"/>
      <c r="AA161" s="363"/>
      <c r="AB161" s="359"/>
      <c r="AC161" s="363"/>
      <c r="AD161" s="359"/>
      <c r="AE161" s="357"/>
      <c r="AF161" s="363"/>
      <c r="AG161" s="363"/>
      <c r="AH161" s="363"/>
      <c r="AI161" s="363"/>
      <c r="AJ161" s="359"/>
    </row>
    <row r="162" spans="1:36" s="360" customFormat="1" ht="19.5" customHeight="1">
      <c r="A162" s="361">
        <f t="shared" si="132"/>
        <v>120</v>
      </c>
      <c r="B162" s="163" t="s">
        <v>225</v>
      </c>
      <c r="C162" s="107" t="s">
        <v>223</v>
      </c>
      <c r="D162" s="313" t="s">
        <v>79</v>
      </c>
      <c r="E162" s="355" t="s">
        <v>209</v>
      </c>
      <c r="F162" s="330">
        <f>627+50</f>
        <v>677</v>
      </c>
      <c r="G162" s="356">
        <f>F162*12</f>
        <v>8124</v>
      </c>
      <c r="H162" s="356">
        <v>60</v>
      </c>
      <c r="I162" s="356"/>
      <c r="J162" s="356">
        <f t="shared" si="127"/>
        <v>677</v>
      </c>
      <c r="K162" s="356">
        <v>300</v>
      </c>
      <c r="L162" s="357"/>
      <c r="M162" s="357">
        <v>125</v>
      </c>
      <c r="N162" s="357">
        <f t="shared" si="128"/>
        <v>682.07749999999999</v>
      </c>
      <c r="O162" s="357">
        <f>N162/13</f>
        <v>52.467500000000001</v>
      </c>
      <c r="P162" s="358"/>
      <c r="Q162" s="357"/>
      <c r="R162" s="357"/>
      <c r="S162" s="357">
        <f t="shared" si="129"/>
        <v>660.07499999999993</v>
      </c>
      <c r="T162" s="357">
        <f>S162/13</f>
        <v>50.774999999999991</v>
      </c>
      <c r="U162" s="357"/>
      <c r="V162" s="357"/>
      <c r="W162" s="357">
        <f>N162+Q162+S162+U162+0.01</f>
        <v>1342.1624999999999</v>
      </c>
      <c r="X162" s="357">
        <f t="shared" si="133"/>
        <v>88.01</v>
      </c>
      <c r="Y162" s="357">
        <f>X162/13</f>
        <v>6.7700000000000005</v>
      </c>
      <c r="Z162" s="357"/>
      <c r="AA162" s="357"/>
      <c r="AB162" s="359"/>
      <c r="AC162" s="357"/>
      <c r="AD162" s="359"/>
      <c r="AE162" s="357"/>
      <c r="AF162" s="357"/>
      <c r="AG162" s="357"/>
      <c r="AH162" s="357"/>
      <c r="AI162" s="357"/>
      <c r="AJ162" s="359"/>
    </row>
    <row r="163" spans="1:36" s="360" customFormat="1" ht="19.5" customHeight="1">
      <c r="A163" s="354">
        <f t="shared" si="132"/>
        <v>121</v>
      </c>
      <c r="B163" s="163" t="s">
        <v>227</v>
      </c>
      <c r="C163" s="107" t="s">
        <v>223</v>
      </c>
      <c r="D163" s="313" t="s">
        <v>79</v>
      </c>
      <c r="E163" s="355" t="s">
        <v>209</v>
      </c>
      <c r="F163" s="330">
        <f>645+30+50</f>
        <v>725</v>
      </c>
      <c r="G163" s="356">
        <f t="shared" si="126"/>
        <v>8700</v>
      </c>
      <c r="H163" s="356">
        <v>60</v>
      </c>
      <c r="I163" s="356"/>
      <c r="J163" s="356">
        <f t="shared" si="127"/>
        <v>725</v>
      </c>
      <c r="K163" s="356">
        <v>300</v>
      </c>
      <c r="L163" s="357"/>
      <c r="M163" s="357">
        <v>125</v>
      </c>
      <c r="N163" s="357">
        <f t="shared" si="128"/>
        <v>730.4375</v>
      </c>
      <c r="O163" s="357"/>
      <c r="P163" s="357">
        <f>N163/13</f>
        <v>56.1875</v>
      </c>
      <c r="Q163" s="357"/>
      <c r="R163" s="357"/>
      <c r="S163" s="357">
        <f t="shared" si="129"/>
        <v>706.875</v>
      </c>
      <c r="T163" s="357">
        <f t="shared" si="130"/>
        <v>54.375</v>
      </c>
      <c r="U163" s="359"/>
      <c r="V163" s="359"/>
      <c r="W163" s="357">
        <f>N163+Q163+S163+U163+0.01</f>
        <v>1437.3225</v>
      </c>
      <c r="X163" s="357">
        <f t="shared" si="133"/>
        <v>94.25</v>
      </c>
      <c r="Y163" s="357">
        <f t="shared" si="131"/>
        <v>7.25</v>
      </c>
      <c r="Z163" s="357"/>
      <c r="AA163" s="357"/>
      <c r="AB163" s="359"/>
      <c r="AC163" s="357"/>
      <c r="AD163" s="359"/>
      <c r="AE163" s="357"/>
      <c r="AF163" s="357"/>
      <c r="AG163" s="357"/>
      <c r="AH163" s="357"/>
      <c r="AI163" s="357"/>
      <c r="AJ163" s="359"/>
    </row>
    <row r="164" spans="1:36" s="360" customFormat="1" ht="19.5" customHeight="1">
      <c r="A164" s="354">
        <f t="shared" si="132"/>
        <v>122</v>
      </c>
      <c r="B164" s="339" t="s">
        <v>229</v>
      </c>
      <c r="C164" s="107" t="s">
        <v>223</v>
      </c>
      <c r="D164" s="313" t="s">
        <v>762</v>
      </c>
      <c r="E164" s="355" t="s">
        <v>209</v>
      </c>
      <c r="F164" s="330">
        <v>600</v>
      </c>
      <c r="G164" s="356">
        <f t="shared" si="126"/>
        <v>7200</v>
      </c>
      <c r="H164" s="356">
        <v>60</v>
      </c>
      <c r="I164" s="362"/>
      <c r="J164" s="356">
        <f t="shared" si="127"/>
        <v>600</v>
      </c>
      <c r="K164" s="356">
        <v>300</v>
      </c>
      <c r="L164" s="359"/>
      <c r="M164" s="357"/>
      <c r="N164" s="357">
        <f t="shared" si="128"/>
        <v>604.5</v>
      </c>
      <c r="O164" s="358"/>
      <c r="P164" s="357">
        <f>N164/13</f>
        <v>46.5</v>
      </c>
      <c r="Q164" s="357"/>
      <c r="R164" s="357"/>
      <c r="S164" s="357">
        <f t="shared" si="129"/>
        <v>585</v>
      </c>
      <c r="T164" s="357">
        <f t="shared" si="130"/>
        <v>45</v>
      </c>
      <c r="U164" s="357"/>
      <c r="V164" s="357"/>
      <c r="W164" s="357">
        <f>N164+Q164+S164+U164</f>
        <v>1189.5</v>
      </c>
      <c r="X164" s="357">
        <f t="shared" si="133"/>
        <v>78</v>
      </c>
      <c r="Y164" s="357">
        <f t="shared" si="131"/>
        <v>6</v>
      </c>
      <c r="Z164" s="363"/>
      <c r="AA164" s="363"/>
      <c r="AB164" s="359"/>
      <c r="AC164" s="363"/>
      <c r="AD164" s="359"/>
      <c r="AE164" s="357"/>
      <c r="AF164" s="363"/>
      <c r="AG164" s="363"/>
      <c r="AH164" s="363"/>
      <c r="AI164" s="363"/>
      <c r="AJ164" s="359"/>
    </row>
    <row r="165" spans="1:36" s="360" customFormat="1" ht="19.5" customHeight="1">
      <c r="A165" s="354">
        <f t="shared" si="132"/>
        <v>123</v>
      </c>
      <c r="B165" s="163" t="s">
        <v>231</v>
      </c>
      <c r="C165" s="107" t="s">
        <v>223</v>
      </c>
      <c r="D165" s="313" t="s">
        <v>79</v>
      </c>
      <c r="E165" s="355" t="s">
        <v>209</v>
      </c>
      <c r="F165" s="330">
        <v>615</v>
      </c>
      <c r="G165" s="356">
        <f t="shared" si="126"/>
        <v>7380</v>
      </c>
      <c r="H165" s="356">
        <v>60</v>
      </c>
      <c r="I165" s="362"/>
      <c r="J165" s="356">
        <f t="shared" si="127"/>
        <v>615</v>
      </c>
      <c r="K165" s="356">
        <v>300</v>
      </c>
      <c r="L165" s="357"/>
      <c r="M165" s="357"/>
      <c r="N165" s="357">
        <f t="shared" si="128"/>
        <v>619.61250000000007</v>
      </c>
      <c r="O165" s="357">
        <f>N165/13</f>
        <v>47.662500000000009</v>
      </c>
      <c r="P165" s="357"/>
      <c r="Q165" s="359"/>
      <c r="R165" s="359"/>
      <c r="S165" s="357">
        <f t="shared" si="129"/>
        <v>599.625</v>
      </c>
      <c r="T165" s="357">
        <f t="shared" si="130"/>
        <v>46.125</v>
      </c>
      <c r="U165" s="359"/>
      <c r="V165" s="359"/>
      <c r="W165" s="357">
        <f>N165+Q165+S165+U165</f>
        <v>1219.2375000000002</v>
      </c>
      <c r="X165" s="357">
        <f t="shared" si="133"/>
        <v>79.95</v>
      </c>
      <c r="Y165" s="357">
        <f t="shared" si="131"/>
        <v>6.15</v>
      </c>
      <c r="Z165" s="363"/>
      <c r="AA165" s="363"/>
      <c r="AB165" s="359"/>
      <c r="AC165" s="363"/>
      <c r="AD165" s="359"/>
      <c r="AE165" s="357"/>
      <c r="AF165" s="363"/>
      <c r="AG165" s="363"/>
      <c r="AH165" s="363"/>
      <c r="AI165" s="363"/>
      <c r="AJ165" s="359"/>
    </row>
    <row r="166" spans="1:36" s="360" customFormat="1" ht="19.5" customHeight="1">
      <c r="A166" s="354">
        <f t="shared" si="132"/>
        <v>124</v>
      </c>
      <c r="B166" s="163" t="s">
        <v>233</v>
      </c>
      <c r="C166" s="107" t="s">
        <v>223</v>
      </c>
      <c r="D166" s="313" t="s">
        <v>79</v>
      </c>
      <c r="E166" s="355" t="s">
        <v>209</v>
      </c>
      <c r="F166" s="330">
        <f>572+30+50+50</f>
        <v>702</v>
      </c>
      <c r="G166" s="356">
        <f t="shared" si="126"/>
        <v>8424</v>
      </c>
      <c r="H166" s="356">
        <v>60</v>
      </c>
      <c r="I166" s="362"/>
      <c r="J166" s="356">
        <f t="shared" si="127"/>
        <v>702</v>
      </c>
      <c r="K166" s="356">
        <v>300</v>
      </c>
      <c r="L166" s="357"/>
      <c r="M166" s="357"/>
      <c r="N166" s="357">
        <f t="shared" si="128"/>
        <v>707.26499999999999</v>
      </c>
      <c r="O166" s="357">
        <f>N166/13</f>
        <v>54.405000000000001</v>
      </c>
      <c r="P166" s="357"/>
      <c r="Q166" s="359"/>
      <c r="R166" s="359"/>
      <c r="S166" s="357">
        <f t="shared" si="129"/>
        <v>684.44999999999993</v>
      </c>
      <c r="T166" s="357">
        <f t="shared" si="130"/>
        <v>52.649999999999991</v>
      </c>
      <c r="U166" s="359"/>
      <c r="V166" s="359"/>
      <c r="W166" s="357">
        <f>N166+Q166+S166+U166</f>
        <v>1391.7149999999999</v>
      </c>
      <c r="X166" s="357">
        <f t="shared" si="133"/>
        <v>91.26</v>
      </c>
      <c r="Y166" s="357">
        <f t="shared" si="131"/>
        <v>7.0200000000000005</v>
      </c>
      <c r="Z166" s="359"/>
      <c r="AA166" s="359"/>
      <c r="AB166" s="359"/>
      <c r="AC166" s="359"/>
      <c r="AD166" s="359"/>
      <c r="AE166" s="357"/>
      <c r="AF166" s="359"/>
      <c r="AG166" s="359"/>
      <c r="AH166" s="359"/>
      <c r="AI166" s="359"/>
      <c r="AJ166" s="359"/>
    </row>
    <row r="167" spans="1:36" s="360" customFormat="1" ht="19.5" customHeight="1">
      <c r="A167" s="354">
        <f t="shared" si="132"/>
        <v>125</v>
      </c>
      <c r="B167" s="163" t="s">
        <v>235</v>
      </c>
      <c r="C167" s="107" t="s">
        <v>223</v>
      </c>
      <c r="D167" s="313" t="s">
        <v>79</v>
      </c>
      <c r="E167" s="355" t="s">
        <v>209</v>
      </c>
      <c r="F167" s="330">
        <f>645+30+50+50</f>
        <v>775</v>
      </c>
      <c r="G167" s="356">
        <f t="shared" si="126"/>
        <v>9300</v>
      </c>
      <c r="H167" s="356">
        <v>60</v>
      </c>
      <c r="I167" s="362"/>
      <c r="J167" s="356">
        <f t="shared" si="127"/>
        <v>775</v>
      </c>
      <c r="K167" s="356">
        <v>300</v>
      </c>
      <c r="L167" s="357"/>
      <c r="M167" s="357">
        <v>125</v>
      </c>
      <c r="N167" s="357">
        <f t="shared" si="128"/>
        <v>780.8125</v>
      </c>
      <c r="O167" s="357">
        <f>N167/13</f>
        <v>60.0625</v>
      </c>
      <c r="P167" s="357"/>
      <c r="Q167" s="359"/>
      <c r="R167" s="359"/>
      <c r="S167" s="357">
        <f t="shared" si="129"/>
        <v>755.625</v>
      </c>
      <c r="T167" s="357">
        <f t="shared" si="130"/>
        <v>58.125</v>
      </c>
      <c r="U167" s="359"/>
      <c r="V167" s="359"/>
      <c r="W167" s="357">
        <f>N167+Q167+S167+U167+0.01</f>
        <v>1536.4475</v>
      </c>
      <c r="X167" s="357">
        <f t="shared" si="133"/>
        <v>100.75</v>
      </c>
      <c r="Y167" s="357">
        <f t="shared" si="131"/>
        <v>7.75</v>
      </c>
      <c r="Z167" s="359"/>
      <c r="AA167" s="359"/>
      <c r="AB167" s="359"/>
      <c r="AC167" s="359"/>
      <c r="AD167" s="359"/>
      <c r="AE167" s="357"/>
      <c r="AF167" s="359"/>
      <c r="AG167" s="359"/>
      <c r="AH167" s="359"/>
      <c r="AI167" s="359"/>
      <c r="AJ167" s="359"/>
    </row>
    <row r="168" spans="1:36" s="360" customFormat="1" ht="19.5" customHeight="1">
      <c r="A168" s="354">
        <f t="shared" si="132"/>
        <v>126</v>
      </c>
      <c r="B168" s="163" t="s">
        <v>237</v>
      </c>
      <c r="C168" s="107" t="s">
        <v>223</v>
      </c>
      <c r="D168" s="313" t="s">
        <v>79</v>
      </c>
      <c r="E168" s="355" t="s">
        <v>209</v>
      </c>
      <c r="F168" s="330">
        <f>517+50+30</f>
        <v>597</v>
      </c>
      <c r="G168" s="356">
        <f t="shared" si="126"/>
        <v>7164</v>
      </c>
      <c r="H168" s="356">
        <v>60</v>
      </c>
      <c r="I168" s="362"/>
      <c r="J168" s="356">
        <f t="shared" si="127"/>
        <v>597</v>
      </c>
      <c r="K168" s="356">
        <v>300</v>
      </c>
      <c r="L168" s="357"/>
      <c r="M168" s="357"/>
      <c r="N168" s="357">
        <f t="shared" si="128"/>
        <v>601.47749999999996</v>
      </c>
      <c r="O168" s="357"/>
      <c r="P168" s="357">
        <f>N168/13</f>
        <v>46.267499999999998</v>
      </c>
      <c r="Q168" s="359"/>
      <c r="R168" s="359"/>
      <c r="S168" s="357">
        <f t="shared" si="129"/>
        <v>582.07499999999993</v>
      </c>
      <c r="T168" s="357">
        <f t="shared" si="130"/>
        <v>44.774999999999991</v>
      </c>
      <c r="U168" s="359"/>
      <c r="V168" s="359"/>
      <c r="W168" s="357">
        <f>N168+Q168+S168+U168</f>
        <v>1183.5524999999998</v>
      </c>
      <c r="X168" s="357">
        <f t="shared" si="133"/>
        <v>77.61</v>
      </c>
      <c r="Y168" s="357">
        <f t="shared" si="131"/>
        <v>5.97</v>
      </c>
      <c r="Z168" s="359"/>
      <c r="AA168" s="359"/>
      <c r="AB168" s="359"/>
      <c r="AC168" s="359"/>
      <c r="AD168" s="359"/>
      <c r="AE168" s="357"/>
      <c r="AF168" s="359"/>
      <c r="AG168" s="359"/>
      <c r="AH168" s="359"/>
      <c r="AI168" s="359"/>
      <c r="AJ168" s="359"/>
    </row>
    <row r="169" spans="1:36" s="360" customFormat="1" ht="19.5" customHeight="1">
      <c r="A169" s="354">
        <f t="shared" si="132"/>
        <v>127</v>
      </c>
      <c r="B169" s="163" t="s">
        <v>239</v>
      </c>
      <c r="C169" s="107" t="s">
        <v>223</v>
      </c>
      <c r="D169" s="313" t="s">
        <v>79</v>
      </c>
      <c r="E169" s="355" t="s">
        <v>209</v>
      </c>
      <c r="F169" s="330">
        <v>700</v>
      </c>
      <c r="G169" s="356">
        <f>F169*12</f>
        <v>8400</v>
      </c>
      <c r="H169" s="356">
        <v>60</v>
      </c>
      <c r="I169" s="362"/>
      <c r="J169" s="356">
        <f>F169</f>
        <v>700</v>
      </c>
      <c r="K169" s="356">
        <v>300</v>
      </c>
      <c r="L169" s="359"/>
      <c r="M169" s="357">
        <v>125</v>
      </c>
      <c r="N169" s="357">
        <f t="shared" si="128"/>
        <v>705.25</v>
      </c>
      <c r="O169" s="358"/>
      <c r="P169" s="357">
        <f>N169/13</f>
        <v>54.25</v>
      </c>
      <c r="Q169" s="359"/>
      <c r="R169" s="359"/>
      <c r="S169" s="357">
        <f t="shared" si="129"/>
        <v>682.5</v>
      </c>
      <c r="T169" s="357">
        <f>S169/13</f>
        <v>52.5</v>
      </c>
      <c r="U169" s="359"/>
      <c r="V169" s="359"/>
      <c r="W169" s="357">
        <f>N169+Q169+S169+U169</f>
        <v>1387.75</v>
      </c>
      <c r="X169" s="357">
        <f t="shared" si="133"/>
        <v>91</v>
      </c>
      <c r="Y169" s="357">
        <f>X169/13</f>
        <v>7</v>
      </c>
      <c r="Z169" s="363"/>
      <c r="AA169" s="363"/>
      <c r="AB169" s="359"/>
      <c r="AC169" s="363"/>
      <c r="AD169" s="359"/>
      <c r="AE169" s="357"/>
      <c r="AF169" s="363"/>
      <c r="AG169" s="363"/>
      <c r="AH169" s="363"/>
      <c r="AI169" s="363"/>
      <c r="AJ169" s="359"/>
    </row>
    <row r="170" spans="1:36" ht="19.5">
      <c r="A170" s="21">
        <f t="shared" si="132"/>
        <v>128</v>
      </c>
      <c r="B170" s="163" t="s">
        <v>241</v>
      </c>
      <c r="C170" s="107" t="s">
        <v>223</v>
      </c>
      <c r="D170" s="313" t="s">
        <v>79</v>
      </c>
      <c r="E170" s="314" t="s">
        <v>209</v>
      </c>
      <c r="F170" s="315">
        <f>417+30+50+50</f>
        <v>547</v>
      </c>
      <c r="G170" s="316">
        <f>F170*12</f>
        <v>6564</v>
      </c>
      <c r="H170" s="316">
        <v>60</v>
      </c>
      <c r="I170" s="323"/>
      <c r="J170" s="316">
        <f t="shared" si="127"/>
        <v>547</v>
      </c>
      <c r="K170" s="316">
        <v>300</v>
      </c>
      <c r="L170" s="307"/>
      <c r="M170" s="307">
        <v>125</v>
      </c>
      <c r="N170" s="307">
        <f t="shared" si="128"/>
        <v>551.10249999999996</v>
      </c>
      <c r="O170" s="307"/>
      <c r="P170" s="307">
        <f>N170/13</f>
        <v>42.392499999999998</v>
      </c>
      <c r="Q170" s="324"/>
      <c r="R170" s="324"/>
      <c r="S170" s="307">
        <f t="shared" si="129"/>
        <v>533.32499999999993</v>
      </c>
      <c r="T170" s="307">
        <f t="shared" si="130"/>
        <v>41.024999999999991</v>
      </c>
      <c r="U170" s="324"/>
      <c r="V170" s="324"/>
      <c r="W170" s="307">
        <f>N170+Q170+S170+U170+0.01</f>
        <v>1084.4374999999998</v>
      </c>
      <c r="X170" s="307">
        <f t="shared" si="133"/>
        <v>71.11</v>
      </c>
      <c r="Y170" s="307">
        <f t="shared" si="131"/>
        <v>5.47</v>
      </c>
      <c r="Z170" s="325"/>
      <c r="AA170" s="325"/>
      <c r="AB170" s="324"/>
      <c r="AC170" s="325"/>
      <c r="AD170" s="324"/>
      <c r="AE170" s="307"/>
      <c r="AF170" s="325"/>
      <c r="AG170" s="325"/>
      <c r="AH170" s="325"/>
      <c r="AI170" s="325"/>
      <c r="AJ170" s="324"/>
    </row>
    <row r="171" spans="1:36" ht="19.5">
      <c r="A171" s="21">
        <f t="shared" si="132"/>
        <v>129</v>
      </c>
      <c r="B171" s="163" t="s">
        <v>243</v>
      </c>
      <c r="C171" s="107" t="s">
        <v>223</v>
      </c>
      <c r="D171" s="313" t="s">
        <v>79</v>
      </c>
      <c r="E171" s="314" t="s">
        <v>209</v>
      </c>
      <c r="F171" s="315">
        <f>417+50+50</f>
        <v>517</v>
      </c>
      <c r="G171" s="316">
        <f>F171*12</f>
        <v>6204</v>
      </c>
      <c r="H171" s="316">
        <v>60</v>
      </c>
      <c r="I171" s="323"/>
      <c r="J171" s="316">
        <f t="shared" si="127"/>
        <v>517</v>
      </c>
      <c r="K171" s="316">
        <v>300</v>
      </c>
      <c r="L171" s="324"/>
      <c r="M171" s="307">
        <v>125</v>
      </c>
      <c r="N171" s="307">
        <f t="shared" si="128"/>
        <v>520.87750000000005</v>
      </c>
      <c r="O171" s="307">
        <f>N171/13</f>
        <v>40.067500000000003</v>
      </c>
      <c r="P171" s="307"/>
      <c r="Q171" s="307"/>
      <c r="R171" s="307"/>
      <c r="S171" s="307">
        <f t="shared" si="129"/>
        <v>504.07499999999999</v>
      </c>
      <c r="T171" s="307">
        <f>S171/13</f>
        <v>38.774999999999999</v>
      </c>
      <c r="U171" s="307"/>
      <c r="V171" s="307"/>
      <c r="W171" s="307">
        <f>N171+Q171+S171+U171</f>
        <v>1024.9525000000001</v>
      </c>
      <c r="X171" s="307">
        <f t="shared" si="133"/>
        <v>67.209999999999994</v>
      </c>
      <c r="Y171" s="307">
        <f>X171/13</f>
        <v>5.17</v>
      </c>
      <c r="Z171" s="325"/>
      <c r="AA171" s="325"/>
      <c r="AB171" s="324"/>
      <c r="AC171" s="325"/>
      <c r="AD171" s="324"/>
      <c r="AE171" s="307"/>
      <c r="AF171" s="325"/>
      <c r="AG171" s="325"/>
      <c r="AH171" s="325"/>
      <c r="AI171" s="325"/>
      <c r="AJ171" s="324"/>
    </row>
    <row r="172" spans="1:36" ht="19.5">
      <c r="A172" s="21">
        <f t="shared" si="132"/>
        <v>130</v>
      </c>
      <c r="B172" s="163" t="s">
        <v>245</v>
      </c>
      <c r="C172" s="107" t="s">
        <v>223</v>
      </c>
      <c r="D172" s="313" t="s">
        <v>79</v>
      </c>
      <c r="E172" s="314" t="s">
        <v>209</v>
      </c>
      <c r="F172" s="315">
        <f>697+30+50+50</f>
        <v>827</v>
      </c>
      <c r="G172" s="316">
        <f t="shared" si="126"/>
        <v>9924</v>
      </c>
      <c r="H172" s="316">
        <v>60</v>
      </c>
      <c r="I172" s="323"/>
      <c r="J172" s="316">
        <f t="shared" si="127"/>
        <v>827</v>
      </c>
      <c r="K172" s="316">
        <v>300</v>
      </c>
      <c r="L172" s="307"/>
      <c r="M172" s="307">
        <v>125</v>
      </c>
      <c r="N172" s="307">
        <f t="shared" si="128"/>
        <v>833.20249999999999</v>
      </c>
      <c r="O172" s="307">
        <f>N172/13</f>
        <v>64.092500000000001</v>
      </c>
      <c r="P172" s="307"/>
      <c r="Q172" s="324"/>
      <c r="R172" s="324"/>
      <c r="S172" s="307">
        <f t="shared" si="129"/>
        <v>806.32499999999993</v>
      </c>
      <c r="T172" s="307">
        <f t="shared" si="130"/>
        <v>62.024999999999991</v>
      </c>
      <c r="U172" s="324"/>
      <c r="V172" s="324"/>
      <c r="W172" s="307">
        <f>N172+Q172+S172+U172+0.01</f>
        <v>1639.5374999999999</v>
      </c>
      <c r="X172" s="307">
        <f t="shared" si="133"/>
        <v>107.50999999999999</v>
      </c>
      <c r="Y172" s="307">
        <f t="shared" si="131"/>
        <v>8.27</v>
      </c>
      <c r="Z172" s="324"/>
      <c r="AA172" s="324"/>
      <c r="AB172" s="324"/>
      <c r="AC172" s="324"/>
      <c r="AD172" s="324"/>
      <c r="AE172" s="307"/>
      <c r="AF172" s="324"/>
      <c r="AG172" s="324"/>
      <c r="AH172" s="324"/>
      <c r="AI172" s="324"/>
      <c r="AJ172" s="324"/>
    </row>
    <row r="173" spans="1:36" ht="20.25" customHeight="1">
      <c r="A173" s="21">
        <f t="shared" si="132"/>
        <v>131</v>
      </c>
      <c r="B173" s="163" t="s">
        <v>247</v>
      </c>
      <c r="C173" s="107" t="s">
        <v>223</v>
      </c>
      <c r="D173" s="313" t="s">
        <v>79</v>
      </c>
      <c r="E173" s="314" t="s">
        <v>209</v>
      </c>
      <c r="F173" s="315">
        <f>567+30+50+50</f>
        <v>697</v>
      </c>
      <c r="G173" s="316">
        <f>F173*12</f>
        <v>8364</v>
      </c>
      <c r="H173" s="316">
        <v>60</v>
      </c>
      <c r="I173" s="323"/>
      <c r="J173" s="316">
        <f t="shared" si="127"/>
        <v>697</v>
      </c>
      <c r="K173" s="316">
        <v>300</v>
      </c>
      <c r="L173" s="307"/>
      <c r="M173" s="307"/>
      <c r="N173" s="307">
        <f t="shared" si="128"/>
        <v>702.22749999999996</v>
      </c>
      <c r="O173" s="332"/>
      <c r="P173" s="307">
        <f>N173/13</f>
        <v>54.017499999999998</v>
      </c>
      <c r="Q173" s="324"/>
      <c r="R173" s="324"/>
      <c r="S173" s="307">
        <f t="shared" si="129"/>
        <v>679.57499999999993</v>
      </c>
      <c r="T173" s="307">
        <f t="shared" si="130"/>
        <v>52.274999999999991</v>
      </c>
      <c r="U173" s="324"/>
      <c r="V173" s="324"/>
      <c r="W173" s="307">
        <f>N173+Q173+S173+U173</f>
        <v>1381.8024999999998</v>
      </c>
      <c r="X173" s="307">
        <f t="shared" si="133"/>
        <v>90.61</v>
      </c>
      <c r="Y173" s="307">
        <f t="shared" si="131"/>
        <v>6.97</v>
      </c>
      <c r="Z173" s="324"/>
      <c r="AA173" s="324"/>
      <c r="AB173" s="324"/>
      <c r="AC173" s="324"/>
      <c r="AD173" s="324"/>
      <c r="AE173" s="307"/>
      <c r="AF173" s="324"/>
      <c r="AG173" s="324"/>
      <c r="AH173" s="324"/>
      <c r="AI173" s="324"/>
      <c r="AJ173" s="324"/>
    </row>
    <row r="174" spans="1:36" ht="20.25" customHeight="1">
      <c r="A174" s="136">
        <f t="shared" si="132"/>
        <v>132</v>
      </c>
      <c r="B174" s="227" t="s">
        <v>247</v>
      </c>
      <c r="C174" s="107" t="s">
        <v>223</v>
      </c>
      <c r="D174" s="313" t="s">
        <v>79</v>
      </c>
      <c r="E174" s="314" t="s">
        <v>209</v>
      </c>
      <c r="F174" s="315">
        <v>800</v>
      </c>
      <c r="G174" s="316">
        <f>F174*12</f>
        <v>9600</v>
      </c>
      <c r="H174" s="316">
        <v>60</v>
      </c>
      <c r="I174" s="323"/>
      <c r="J174" s="316">
        <f>F174</f>
        <v>800</v>
      </c>
      <c r="K174" s="316">
        <v>300</v>
      </c>
      <c r="L174" s="307"/>
      <c r="M174" s="307">
        <v>125</v>
      </c>
      <c r="N174" s="307">
        <f t="shared" si="128"/>
        <v>806</v>
      </c>
      <c r="O174" s="307"/>
      <c r="P174" s="307">
        <f>N174/13</f>
        <v>62</v>
      </c>
      <c r="Q174" s="324"/>
      <c r="R174" s="324"/>
      <c r="S174" s="307">
        <f t="shared" si="129"/>
        <v>780</v>
      </c>
      <c r="T174" s="307">
        <f>S174/13</f>
        <v>60</v>
      </c>
      <c r="U174" s="324"/>
      <c r="V174" s="324"/>
      <c r="W174" s="307">
        <f>N174+Q174+S174+U174</f>
        <v>1586</v>
      </c>
      <c r="X174" s="307">
        <f t="shared" si="133"/>
        <v>104</v>
      </c>
      <c r="Y174" s="307">
        <f>X174/13</f>
        <v>8</v>
      </c>
      <c r="Z174" s="324"/>
      <c r="AA174" s="324"/>
      <c r="AB174" s="324"/>
      <c r="AC174" s="324"/>
      <c r="AD174" s="324"/>
      <c r="AE174" s="307"/>
      <c r="AF174" s="324"/>
      <c r="AG174" s="324"/>
      <c r="AH174" s="324"/>
      <c r="AI174" s="324"/>
      <c r="AJ174" s="324"/>
    </row>
    <row r="175" spans="1:36" ht="18.75" customHeight="1">
      <c r="A175" s="21">
        <f t="shared" si="132"/>
        <v>133</v>
      </c>
      <c r="B175" s="163" t="s">
        <v>249</v>
      </c>
      <c r="C175" s="107" t="s">
        <v>223</v>
      </c>
      <c r="D175" s="313" t="s">
        <v>79</v>
      </c>
      <c r="E175" s="314" t="s">
        <v>209</v>
      </c>
      <c r="F175" s="315">
        <f>547+50</f>
        <v>597</v>
      </c>
      <c r="G175" s="316">
        <f>F175*12</f>
        <v>7164</v>
      </c>
      <c r="H175" s="316">
        <v>60</v>
      </c>
      <c r="I175" s="323"/>
      <c r="J175" s="316">
        <f t="shared" si="127"/>
        <v>597</v>
      </c>
      <c r="K175" s="316">
        <v>300</v>
      </c>
      <c r="L175" s="307"/>
      <c r="M175" s="307">
        <v>125</v>
      </c>
      <c r="N175" s="307">
        <f t="shared" si="128"/>
        <v>601.47749999999996</v>
      </c>
      <c r="O175" s="321"/>
      <c r="P175" s="307">
        <f>N175/13</f>
        <v>46.267499999999998</v>
      </c>
      <c r="Q175" s="324"/>
      <c r="R175" s="324"/>
      <c r="S175" s="307">
        <f t="shared" si="129"/>
        <v>582.07499999999993</v>
      </c>
      <c r="T175" s="307">
        <f>S175/13</f>
        <v>44.774999999999991</v>
      </c>
      <c r="U175" s="324"/>
      <c r="V175" s="324"/>
      <c r="W175" s="307">
        <f>N175+Q175+S175+U175</f>
        <v>1183.5524999999998</v>
      </c>
      <c r="X175" s="307">
        <f t="shared" si="133"/>
        <v>77.61</v>
      </c>
      <c r="Y175" s="307">
        <f>X175/13</f>
        <v>5.97</v>
      </c>
      <c r="Z175" s="325"/>
      <c r="AA175" s="325"/>
      <c r="AB175" s="324"/>
      <c r="AC175" s="325"/>
      <c r="AD175" s="324"/>
      <c r="AE175" s="307"/>
      <c r="AF175" s="325"/>
      <c r="AG175" s="325"/>
      <c r="AH175" s="325"/>
      <c r="AI175" s="325"/>
      <c r="AJ175" s="324"/>
    </row>
    <row r="176" spans="1:36" ht="19.5">
      <c r="A176" s="21">
        <f t="shared" si="132"/>
        <v>134</v>
      </c>
      <c r="B176" s="163" t="s">
        <v>251</v>
      </c>
      <c r="C176" s="107" t="s">
        <v>223</v>
      </c>
      <c r="D176" s="313" t="s">
        <v>79</v>
      </c>
      <c r="E176" s="314" t="s">
        <v>209</v>
      </c>
      <c r="F176" s="315">
        <f>645+30+50+50</f>
        <v>775</v>
      </c>
      <c r="G176" s="316">
        <f t="shared" si="126"/>
        <v>9300</v>
      </c>
      <c r="H176" s="316">
        <v>60</v>
      </c>
      <c r="I176" s="323"/>
      <c r="J176" s="316">
        <f t="shared" si="127"/>
        <v>775</v>
      </c>
      <c r="K176" s="316">
        <v>300</v>
      </c>
      <c r="L176" s="307"/>
      <c r="M176" s="307"/>
      <c r="N176" s="307">
        <f t="shared" si="128"/>
        <v>780.8125</v>
      </c>
      <c r="O176" s="307">
        <f>N176/13</f>
        <v>60.0625</v>
      </c>
      <c r="P176" s="307"/>
      <c r="Q176" s="307"/>
      <c r="R176" s="307"/>
      <c r="S176" s="307">
        <f t="shared" si="129"/>
        <v>755.625</v>
      </c>
      <c r="T176" s="307">
        <f t="shared" si="130"/>
        <v>58.125</v>
      </c>
      <c r="U176" s="324"/>
      <c r="V176" s="324"/>
      <c r="W176" s="307">
        <f>N176+Q176+S176+U176+0.01</f>
        <v>1536.4475</v>
      </c>
      <c r="X176" s="307">
        <f t="shared" si="133"/>
        <v>100.75</v>
      </c>
      <c r="Y176" s="307">
        <f t="shared" si="131"/>
        <v>7.75</v>
      </c>
      <c r="Z176" s="324"/>
      <c r="AA176" s="324"/>
      <c r="AB176" s="324"/>
      <c r="AC176" s="324"/>
      <c r="AD176" s="324"/>
      <c r="AE176" s="307"/>
      <c r="AF176" s="324"/>
      <c r="AG176" s="324"/>
      <c r="AH176" s="324"/>
      <c r="AI176" s="324"/>
      <c r="AJ176" s="324"/>
    </row>
    <row r="177" spans="1:36" ht="14.25" customHeight="1">
      <c r="A177" s="21">
        <f t="shared" si="132"/>
        <v>135</v>
      </c>
      <c r="B177" s="163" t="s">
        <v>253</v>
      </c>
      <c r="C177" s="107" t="s">
        <v>223</v>
      </c>
      <c r="D177" s="313" t="s">
        <v>79</v>
      </c>
      <c r="E177" s="314" t="s">
        <v>209</v>
      </c>
      <c r="F177" s="315">
        <f>467+30+50+50</f>
        <v>597</v>
      </c>
      <c r="G177" s="316">
        <f t="shared" si="126"/>
        <v>7164</v>
      </c>
      <c r="H177" s="316">
        <v>60</v>
      </c>
      <c r="I177" s="323"/>
      <c r="J177" s="316">
        <f t="shared" si="127"/>
        <v>597</v>
      </c>
      <c r="K177" s="316">
        <v>300</v>
      </c>
      <c r="L177" s="324"/>
      <c r="M177" s="307">
        <v>125</v>
      </c>
      <c r="N177" s="307">
        <f t="shared" si="128"/>
        <v>601.47749999999996</v>
      </c>
      <c r="O177" s="307">
        <f>N177/13</f>
        <v>46.267499999999998</v>
      </c>
      <c r="P177" s="307"/>
      <c r="Q177" s="307"/>
      <c r="R177" s="307"/>
      <c r="S177" s="307">
        <f t="shared" si="129"/>
        <v>582.07499999999993</v>
      </c>
      <c r="T177" s="307">
        <f t="shared" si="130"/>
        <v>44.774999999999991</v>
      </c>
      <c r="U177" s="307"/>
      <c r="V177" s="307"/>
      <c r="W177" s="307">
        <f>N177+Q177+S177+U177</f>
        <v>1183.5524999999998</v>
      </c>
      <c r="X177" s="307">
        <f t="shared" si="133"/>
        <v>77.61</v>
      </c>
      <c r="Y177" s="307">
        <f t="shared" si="131"/>
        <v>5.97</v>
      </c>
      <c r="Z177" s="307"/>
      <c r="AA177" s="307"/>
      <c r="AB177" s="307"/>
      <c r="AC177" s="307"/>
      <c r="AD177" s="307"/>
      <c r="AE177" s="307"/>
      <c r="AF177" s="307"/>
      <c r="AG177" s="324"/>
      <c r="AH177" s="324"/>
      <c r="AI177" s="324"/>
      <c r="AJ177" s="324"/>
    </row>
    <row r="178" spans="1:36" ht="12.75" customHeight="1">
      <c r="A178" s="21">
        <f t="shared" si="132"/>
        <v>136</v>
      </c>
      <c r="B178" s="163" t="s">
        <v>256</v>
      </c>
      <c r="C178" s="107" t="s">
        <v>223</v>
      </c>
      <c r="D178" s="313" t="s">
        <v>79</v>
      </c>
      <c r="E178" s="314" t="s">
        <v>209</v>
      </c>
      <c r="F178" s="315">
        <f>417+50+50</f>
        <v>517</v>
      </c>
      <c r="G178" s="316">
        <f>F178*12</f>
        <v>6204</v>
      </c>
      <c r="H178" s="316">
        <v>60</v>
      </c>
      <c r="I178" s="323"/>
      <c r="J178" s="316">
        <f t="shared" si="127"/>
        <v>517</v>
      </c>
      <c r="K178" s="316">
        <v>300</v>
      </c>
      <c r="L178" s="324"/>
      <c r="M178" s="307">
        <v>125</v>
      </c>
      <c r="N178" s="307">
        <f t="shared" si="128"/>
        <v>520.87750000000005</v>
      </c>
      <c r="O178" s="307"/>
      <c r="P178" s="307">
        <f>N178/13</f>
        <v>40.067500000000003</v>
      </c>
      <c r="Q178" s="324"/>
      <c r="R178" s="324"/>
      <c r="S178" s="307">
        <f t="shared" si="129"/>
        <v>504.07499999999999</v>
      </c>
      <c r="T178" s="307">
        <f t="shared" si="130"/>
        <v>38.774999999999999</v>
      </c>
      <c r="U178" s="324"/>
      <c r="V178" s="324"/>
      <c r="W178" s="307">
        <f>N178+Q178+S178+U178</f>
        <v>1024.9525000000001</v>
      </c>
      <c r="X178" s="307">
        <f t="shared" si="133"/>
        <v>67.209999999999994</v>
      </c>
      <c r="Y178" s="307">
        <f t="shared" si="131"/>
        <v>5.17</v>
      </c>
      <c r="Z178" s="325"/>
      <c r="AA178" s="325"/>
      <c r="AB178" s="324"/>
      <c r="AC178" s="325"/>
      <c r="AD178" s="324"/>
      <c r="AE178" s="307"/>
      <c r="AF178" s="325"/>
      <c r="AG178" s="325"/>
      <c r="AH178" s="325"/>
      <c r="AI178" s="325"/>
      <c r="AJ178" s="324"/>
    </row>
    <row r="179" spans="1:36">
      <c r="A179" s="21">
        <f t="shared" si="132"/>
        <v>137</v>
      </c>
      <c r="B179" s="339" t="s">
        <v>706</v>
      </c>
      <c r="C179" s="107" t="s">
        <v>223</v>
      </c>
      <c r="D179" s="313" t="s">
        <v>762</v>
      </c>
      <c r="E179" s="314" t="s">
        <v>209</v>
      </c>
      <c r="F179" s="315">
        <v>417</v>
      </c>
      <c r="G179" s="316">
        <f>F179*12</f>
        <v>5004</v>
      </c>
      <c r="H179" s="316">
        <v>60</v>
      </c>
      <c r="I179" s="323"/>
      <c r="J179" s="316">
        <f t="shared" si="127"/>
        <v>417</v>
      </c>
      <c r="K179" s="316">
        <v>300</v>
      </c>
      <c r="L179" s="324"/>
      <c r="M179" s="307"/>
      <c r="N179" s="307">
        <f t="shared" si="128"/>
        <v>420.12750000000005</v>
      </c>
      <c r="O179" s="307"/>
      <c r="P179" s="307">
        <f>N179/13</f>
        <v>32.317500000000003</v>
      </c>
      <c r="Q179" s="324"/>
      <c r="R179" s="324"/>
      <c r="S179" s="307">
        <f t="shared" si="129"/>
        <v>406.57499999999999</v>
      </c>
      <c r="T179" s="307">
        <f t="shared" si="130"/>
        <v>31.274999999999999</v>
      </c>
      <c r="U179" s="324"/>
      <c r="V179" s="324"/>
      <c r="W179" s="307">
        <f>N179+Q179+S179+U179+0.01</f>
        <v>826.71250000000009</v>
      </c>
      <c r="X179" s="307">
        <f t="shared" si="133"/>
        <v>54.21</v>
      </c>
      <c r="Y179" s="307">
        <f t="shared" si="131"/>
        <v>4.17</v>
      </c>
      <c r="Z179" s="325"/>
      <c r="AA179" s="325"/>
      <c r="AB179" s="324"/>
      <c r="AC179" s="325"/>
      <c r="AD179" s="324"/>
      <c r="AE179" s="307"/>
      <c r="AF179" s="325"/>
      <c r="AG179" s="325"/>
      <c r="AH179" s="325"/>
      <c r="AI179" s="325"/>
      <c r="AJ179" s="324"/>
    </row>
    <row r="180" spans="1:36" ht="21" customHeight="1">
      <c r="A180" s="21"/>
      <c r="B180" s="453" t="s">
        <v>778</v>
      </c>
      <c r="C180" s="454"/>
      <c r="D180" s="455"/>
      <c r="E180" s="314"/>
      <c r="F180" s="319">
        <f t="shared" ref="F180:M180" si="134">SUM(F160:F179)</f>
        <v>13782</v>
      </c>
      <c r="G180" s="320">
        <f t="shared" si="134"/>
        <v>165384</v>
      </c>
      <c r="H180" s="320">
        <f t="shared" si="134"/>
        <v>1200</v>
      </c>
      <c r="I180" s="320">
        <f t="shared" si="134"/>
        <v>0</v>
      </c>
      <c r="J180" s="320">
        <f t="shared" si="134"/>
        <v>13782</v>
      </c>
      <c r="K180" s="320">
        <f t="shared" si="134"/>
        <v>6000</v>
      </c>
      <c r="L180" s="312">
        <f t="shared" si="134"/>
        <v>0</v>
      </c>
      <c r="M180" s="312">
        <f t="shared" si="134"/>
        <v>1625</v>
      </c>
      <c r="N180" s="312">
        <f>SUM(N160:N179)+0.01</f>
        <v>13885.375000000002</v>
      </c>
      <c r="O180" s="312">
        <f>SUM(O160:O179)</f>
        <v>425.08750000000003</v>
      </c>
      <c r="P180" s="312">
        <f>SUM(P160:P179)-0.01</f>
        <v>643.00750000000005</v>
      </c>
      <c r="Q180" s="312">
        <f>SUM(Q160:Q179)</f>
        <v>0</v>
      </c>
      <c r="R180" s="312">
        <f>SUM(R160:R179)</f>
        <v>0</v>
      </c>
      <c r="S180" s="312">
        <f>SUM(S160:S179)+0.07</f>
        <v>13437.520000000004</v>
      </c>
      <c r="T180" s="312">
        <f>SUM(T160:T179)+0.07</f>
        <v>1033.7199999999998</v>
      </c>
      <c r="U180" s="312">
        <f>SUM(U160:U179)</f>
        <v>0</v>
      </c>
      <c r="V180" s="312">
        <f>SUM(V160:V179)</f>
        <v>0</v>
      </c>
      <c r="W180" s="312">
        <f>SUM(W160:W179)</f>
        <v>27322.884999999995</v>
      </c>
      <c r="X180" s="312">
        <f t="shared" ref="X180:AF180" si="135">SUM(X160:X179)</f>
        <v>1778.6599999999999</v>
      </c>
      <c r="Y180" s="312">
        <f t="shared" si="135"/>
        <v>136.81999999999996</v>
      </c>
      <c r="Z180" s="312">
        <f t="shared" si="135"/>
        <v>0</v>
      </c>
      <c r="AA180" s="312">
        <f t="shared" si="135"/>
        <v>0</v>
      </c>
      <c r="AB180" s="312">
        <f t="shared" si="135"/>
        <v>0</v>
      </c>
      <c r="AC180" s="312">
        <f t="shared" si="135"/>
        <v>0</v>
      </c>
      <c r="AD180" s="312">
        <f t="shared" si="135"/>
        <v>0</v>
      </c>
      <c r="AE180" s="312">
        <f t="shared" si="135"/>
        <v>0</v>
      </c>
      <c r="AF180" s="312">
        <f t="shared" si="135"/>
        <v>0</v>
      </c>
      <c r="AG180" s="312"/>
      <c r="AH180" s="312"/>
      <c r="AI180" s="312"/>
      <c r="AJ180" s="312"/>
    </row>
    <row r="181" spans="1:36">
      <c r="A181" s="21">
        <f>A179+1</f>
        <v>138</v>
      </c>
      <c r="B181" s="335" t="s">
        <v>679</v>
      </c>
      <c r="C181" s="156" t="s">
        <v>748</v>
      </c>
      <c r="D181" s="157" t="s">
        <v>762</v>
      </c>
      <c r="E181" s="314" t="s">
        <v>209</v>
      </c>
      <c r="F181" s="315">
        <v>700</v>
      </c>
      <c r="G181" s="316">
        <f>F181*12</f>
        <v>8400</v>
      </c>
      <c r="H181" s="316">
        <v>60</v>
      </c>
      <c r="I181" s="323"/>
      <c r="J181" s="316">
        <f>F181</f>
        <v>700</v>
      </c>
      <c r="K181" s="316">
        <v>300</v>
      </c>
      <c r="L181" s="324"/>
      <c r="M181" s="307"/>
      <c r="N181" s="307">
        <f>F181*0.0775*13</f>
        <v>705.25</v>
      </c>
      <c r="O181" s="307"/>
      <c r="P181" s="307">
        <f>N181/13</f>
        <v>54.25</v>
      </c>
      <c r="Q181" s="324"/>
      <c r="R181" s="324"/>
      <c r="S181" s="307">
        <f>F181*0.075*13</f>
        <v>682.5</v>
      </c>
      <c r="T181" s="307">
        <f t="shared" ref="T181:T182" si="136">S181/13</f>
        <v>52.5</v>
      </c>
      <c r="U181" s="324"/>
      <c r="V181" s="324"/>
      <c r="W181" s="307">
        <f>N181+Q181+S181+U181</f>
        <v>1387.75</v>
      </c>
      <c r="X181" s="307">
        <f>F181*0.01*13</f>
        <v>91</v>
      </c>
      <c r="Y181" s="307">
        <f t="shared" ref="Y181:Y182" si="137">X181/13</f>
        <v>7</v>
      </c>
      <c r="Z181" s="312"/>
      <c r="AA181" s="312"/>
      <c r="AB181" s="312"/>
      <c r="AC181" s="312"/>
      <c r="AD181" s="312"/>
      <c r="AE181" s="312"/>
      <c r="AF181" s="312"/>
      <c r="AG181" s="312"/>
      <c r="AH181" s="312"/>
      <c r="AI181" s="312"/>
      <c r="AJ181" s="312"/>
    </row>
    <row r="182" spans="1:36" ht="18.75" customHeight="1">
      <c r="A182" s="21">
        <f>A181+1</f>
        <v>139</v>
      </c>
      <c r="B182" s="335" t="s">
        <v>91</v>
      </c>
      <c r="C182" s="156" t="s">
        <v>748</v>
      </c>
      <c r="D182" s="157" t="s">
        <v>762</v>
      </c>
      <c r="E182" s="314" t="s">
        <v>209</v>
      </c>
      <c r="F182" s="315">
        <v>417</v>
      </c>
      <c r="G182" s="316">
        <f>F182*12</f>
        <v>5004</v>
      </c>
      <c r="H182" s="316">
        <v>60</v>
      </c>
      <c r="I182" s="323"/>
      <c r="J182" s="316">
        <f>F182</f>
        <v>417</v>
      </c>
      <c r="K182" s="316">
        <v>300</v>
      </c>
      <c r="L182" s="324"/>
      <c r="M182" s="307"/>
      <c r="N182" s="307">
        <f>F182*0.0775*13</f>
        <v>420.12750000000005</v>
      </c>
      <c r="O182" s="307"/>
      <c r="P182" s="307">
        <f>N182/13</f>
        <v>32.317500000000003</v>
      </c>
      <c r="Q182" s="324"/>
      <c r="R182" s="324"/>
      <c r="S182" s="307">
        <f>F182*0.075*13</f>
        <v>406.57499999999999</v>
      </c>
      <c r="T182" s="307">
        <f t="shared" si="136"/>
        <v>31.274999999999999</v>
      </c>
      <c r="U182" s="324"/>
      <c r="V182" s="324"/>
      <c r="W182" s="307">
        <f>N182+Q182+S182+U182+0.01</f>
        <v>826.71250000000009</v>
      </c>
      <c r="X182" s="307">
        <f>F182*0.01*13</f>
        <v>54.21</v>
      </c>
      <c r="Y182" s="307">
        <f t="shared" si="137"/>
        <v>4.17</v>
      </c>
      <c r="Z182" s="312"/>
      <c r="AA182" s="312"/>
      <c r="AB182" s="312"/>
      <c r="AC182" s="312"/>
      <c r="AD182" s="312"/>
      <c r="AE182" s="312"/>
      <c r="AF182" s="312"/>
      <c r="AG182" s="312"/>
      <c r="AH182" s="312"/>
      <c r="AI182" s="312"/>
      <c r="AJ182" s="312"/>
    </row>
    <row r="183" spans="1:36" ht="20.25" customHeight="1">
      <c r="A183" s="124"/>
      <c r="B183" s="154" t="s">
        <v>729</v>
      </c>
      <c r="C183" s="156"/>
      <c r="D183" s="156"/>
      <c r="E183" s="331"/>
      <c r="F183" s="319">
        <f>SUM(F181:F182)</f>
        <v>1117</v>
      </c>
      <c r="G183" s="319">
        <f t="shared" ref="G183:P183" si="138">SUM(G181:G182)</f>
        <v>13404</v>
      </c>
      <c r="H183" s="319">
        <f t="shared" si="138"/>
        <v>120</v>
      </c>
      <c r="I183" s="319">
        <f t="shared" si="138"/>
        <v>0</v>
      </c>
      <c r="J183" s="319">
        <f t="shared" si="138"/>
        <v>1117</v>
      </c>
      <c r="K183" s="319">
        <f t="shared" si="138"/>
        <v>600</v>
      </c>
      <c r="L183" s="319">
        <f t="shared" si="138"/>
        <v>0</v>
      </c>
      <c r="M183" s="319">
        <f t="shared" si="138"/>
        <v>0</v>
      </c>
      <c r="N183" s="319">
        <f t="shared" si="138"/>
        <v>1125.3775000000001</v>
      </c>
      <c r="O183" s="319">
        <f t="shared" si="138"/>
        <v>0</v>
      </c>
      <c r="P183" s="319">
        <f t="shared" si="138"/>
        <v>86.567499999999995</v>
      </c>
      <c r="Q183" s="312"/>
      <c r="R183" s="312"/>
      <c r="S183" s="319">
        <f t="shared" ref="S183:T183" si="139">SUM(S181:S182)</f>
        <v>1089.075</v>
      </c>
      <c r="T183" s="319">
        <f t="shared" si="139"/>
        <v>83.775000000000006</v>
      </c>
      <c r="U183" s="312"/>
      <c r="V183" s="312"/>
      <c r="W183" s="319">
        <f t="shared" ref="W183:Y183" si="140">SUM(W181:W182)</f>
        <v>2214.4625000000001</v>
      </c>
      <c r="X183" s="319">
        <f t="shared" si="140"/>
        <v>145.21</v>
      </c>
      <c r="Y183" s="319">
        <f t="shared" si="140"/>
        <v>11.17</v>
      </c>
      <c r="Z183" s="312"/>
      <c r="AA183" s="312"/>
      <c r="AB183" s="312"/>
      <c r="AC183" s="312"/>
      <c r="AD183" s="312"/>
      <c r="AE183" s="312"/>
      <c r="AF183" s="312"/>
      <c r="AG183" s="312"/>
      <c r="AH183" s="312"/>
      <c r="AI183" s="312"/>
      <c r="AJ183" s="312"/>
    </row>
    <row r="184" spans="1:36" ht="30" customHeight="1">
      <c r="A184" s="21">
        <f>A182+1</f>
        <v>140</v>
      </c>
      <c r="B184" s="165" t="s">
        <v>661</v>
      </c>
      <c r="C184" s="156" t="s">
        <v>707</v>
      </c>
      <c r="D184" s="156" t="s">
        <v>759</v>
      </c>
      <c r="E184" s="314" t="s">
        <v>209</v>
      </c>
      <c r="F184" s="316">
        <v>1800</v>
      </c>
      <c r="G184" s="316">
        <f>F184*12</f>
        <v>21600</v>
      </c>
      <c r="H184" s="316">
        <v>60</v>
      </c>
      <c r="I184" s="323"/>
      <c r="J184" s="316">
        <f>F184</f>
        <v>1800</v>
      </c>
      <c r="K184" s="316">
        <v>300</v>
      </c>
      <c r="L184" s="324"/>
      <c r="M184" s="307"/>
      <c r="N184" s="307">
        <f>F184*0.0775*13</f>
        <v>1813.5</v>
      </c>
      <c r="O184" s="307"/>
      <c r="P184" s="307">
        <f>N184/13</f>
        <v>139.5</v>
      </c>
      <c r="Q184" s="324"/>
      <c r="R184" s="324"/>
      <c r="S184" s="307">
        <f>F184*0.075*13</f>
        <v>1755</v>
      </c>
      <c r="T184" s="307">
        <f t="shared" ref="T184:T185" si="141">S184/13</f>
        <v>135</v>
      </c>
      <c r="U184" s="324"/>
      <c r="V184" s="324"/>
      <c r="W184" s="307">
        <f>N184+Q184+S184+U184</f>
        <v>3568.5</v>
      </c>
      <c r="X184" s="307">
        <f>F184*0.01*13</f>
        <v>234</v>
      </c>
      <c r="Y184" s="307">
        <f t="shared" ref="Y184:Y185" si="142">X184/13</f>
        <v>18</v>
      </c>
      <c r="Z184" s="312"/>
      <c r="AA184" s="312"/>
      <c r="AB184" s="312"/>
      <c r="AC184" s="312"/>
      <c r="AD184" s="312"/>
      <c r="AE184" s="312"/>
      <c r="AF184" s="312"/>
      <c r="AG184" s="312"/>
      <c r="AH184" s="312"/>
      <c r="AI184" s="312"/>
      <c r="AJ184" s="312"/>
    </row>
    <row r="185" spans="1:36" ht="30" customHeight="1">
      <c r="A185" s="21">
        <f>A184+1</f>
        <v>141</v>
      </c>
      <c r="B185" s="163" t="s">
        <v>735</v>
      </c>
      <c r="C185" s="156" t="s">
        <v>736</v>
      </c>
      <c r="D185" s="156" t="s">
        <v>79</v>
      </c>
      <c r="E185" s="314" t="s">
        <v>209</v>
      </c>
      <c r="F185" s="316">
        <v>1000</v>
      </c>
      <c r="G185" s="316">
        <f>F185*12</f>
        <v>12000</v>
      </c>
      <c r="H185" s="316">
        <v>60</v>
      </c>
      <c r="I185" s="323"/>
      <c r="J185" s="316">
        <f>F185</f>
        <v>1000</v>
      </c>
      <c r="K185" s="316">
        <v>300</v>
      </c>
      <c r="L185" s="324"/>
      <c r="M185" s="307">
        <v>125</v>
      </c>
      <c r="N185" s="307">
        <f>F185*0.0775*13</f>
        <v>1007.5</v>
      </c>
      <c r="O185" s="307"/>
      <c r="P185" s="307">
        <f>N185/13</f>
        <v>77.5</v>
      </c>
      <c r="Q185" s="324"/>
      <c r="R185" s="324"/>
      <c r="S185" s="307">
        <f>F185*0.075*13</f>
        <v>975</v>
      </c>
      <c r="T185" s="307">
        <f t="shared" si="141"/>
        <v>75</v>
      </c>
      <c r="U185" s="324"/>
      <c r="V185" s="324"/>
      <c r="W185" s="307">
        <f>N185+Q185+S185+U185</f>
        <v>1982.5</v>
      </c>
      <c r="X185" s="307">
        <f>F185*0.01*13</f>
        <v>130</v>
      </c>
      <c r="Y185" s="307">
        <f t="shared" si="142"/>
        <v>10</v>
      </c>
      <c r="Z185" s="312"/>
      <c r="AA185" s="312"/>
      <c r="AB185" s="312"/>
      <c r="AC185" s="312"/>
      <c r="AD185" s="312"/>
      <c r="AE185" s="312"/>
      <c r="AF185" s="312"/>
      <c r="AG185" s="312"/>
      <c r="AH185" s="312"/>
      <c r="AI185" s="312"/>
      <c r="AJ185" s="312"/>
    </row>
    <row r="186" spans="1:36">
      <c r="A186" s="124"/>
      <c r="B186" s="154" t="s">
        <v>662</v>
      </c>
      <c r="C186" s="156"/>
      <c r="D186" s="156"/>
      <c r="E186" s="331"/>
      <c r="F186" s="320">
        <f>SUM(F184:F185)</f>
        <v>2800</v>
      </c>
      <c r="G186" s="320">
        <f>SUM(G184:G185)</f>
        <v>33600</v>
      </c>
      <c r="H186" s="320">
        <f t="shared" ref="H186:P186" si="143">SUM(H184:H185)</f>
        <v>120</v>
      </c>
      <c r="I186" s="320">
        <f t="shared" si="143"/>
        <v>0</v>
      </c>
      <c r="J186" s="320">
        <f t="shared" si="143"/>
        <v>2800</v>
      </c>
      <c r="K186" s="320">
        <f t="shared" si="143"/>
        <v>600</v>
      </c>
      <c r="L186" s="320">
        <f t="shared" si="143"/>
        <v>0</v>
      </c>
      <c r="M186" s="320">
        <f t="shared" si="143"/>
        <v>125</v>
      </c>
      <c r="N186" s="320">
        <f t="shared" si="143"/>
        <v>2821</v>
      </c>
      <c r="O186" s="320">
        <f t="shared" si="143"/>
        <v>0</v>
      </c>
      <c r="P186" s="320">
        <f t="shared" si="143"/>
        <v>217</v>
      </c>
      <c r="Q186" s="312"/>
      <c r="R186" s="312"/>
      <c r="S186" s="320">
        <f t="shared" ref="S186:T186" si="144">SUM(S184:S185)</f>
        <v>2730</v>
      </c>
      <c r="T186" s="320">
        <f t="shared" si="144"/>
        <v>210</v>
      </c>
      <c r="U186" s="312"/>
      <c r="V186" s="312"/>
      <c r="W186" s="320">
        <f t="shared" ref="W186:Y186" si="145">SUM(W184:W185)</f>
        <v>5551</v>
      </c>
      <c r="X186" s="320">
        <f t="shared" si="145"/>
        <v>364</v>
      </c>
      <c r="Y186" s="320">
        <f t="shared" si="145"/>
        <v>28</v>
      </c>
      <c r="Z186" s="312"/>
      <c r="AA186" s="312"/>
      <c r="AB186" s="312"/>
      <c r="AC186" s="312"/>
      <c r="AD186" s="312"/>
      <c r="AE186" s="312"/>
      <c r="AF186" s="312"/>
      <c r="AG186" s="312"/>
      <c r="AH186" s="312"/>
      <c r="AI186" s="312"/>
      <c r="AJ186" s="312"/>
    </row>
    <row r="187" spans="1:36" ht="19.5">
      <c r="A187" s="21">
        <f>A185+1</f>
        <v>142</v>
      </c>
      <c r="B187" s="161" t="s">
        <v>295</v>
      </c>
      <c r="C187" s="156" t="s">
        <v>296</v>
      </c>
      <c r="D187" s="313" t="s">
        <v>79</v>
      </c>
      <c r="E187" s="314" t="s">
        <v>209</v>
      </c>
      <c r="F187" s="315">
        <f>1052+30+50</f>
        <v>1132</v>
      </c>
      <c r="G187" s="316">
        <f>F187*12</f>
        <v>13584</v>
      </c>
      <c r="H187" s="316">
        <v>60</v>
      </c>
      <c r="I187" s="323"/>
      <c r="J187" s="316">
        <f>F187</f>
        <v>1132</v>
      </c>
      <c r="K187" s="316">
        <v>300</v>
      </c>
      <c r="L187" s="307">
        <v>1000</v>
      </c>
      <c r="M187" s="307"/>
      <c r="N187" s="307">
        <f>F187*0.0775*13</f>
        <v>1140.49</v>
      </c>
      <c r="O187" s="307">
        <f>N187/13</f>
        <v>87.73</v>
      </c>
      <c r="P187" s="307"/>
      <c r="Q187" s="324"/>
      <c r="R187" s="324"/>
      <c r="S187" s="307">
        <f>75*13</f>
        <v>975</v>
      </c>
      <c r="T187" s="307">
        <f>S187/13</f>
        <v>75</v>
      </c>
      <c r="U187" s="324"/>
      <c r="V187" s="324"/>
      <c r="W187" s="307">
        <f>N187+Q187+S187+U187</f>
        <v>2115.4899999999998</v>
      </c>
      <c r="X187" s="307">
        <f>10*13</f>
        <v>130</v>
      </c>
      <c r="Y187" s="307">
        <f>X187/13</f>
        <v>10</v>
      </c>
      <c r="Z187" s="307"/>
      <c r="AA187" s="307"/>
      <c r="AB187" s="307"/>
      <c r="AC187" s="307"/>
      <c r="AD187" s="307"/>
      <c r="AE187" s="307"/>
      <c r="AF187" s="307"/>
      <c r="AG187" s="307"/>
      <c r="AH187" s="307"/>
      <c r="AI187" s="307"/>
      <c r="AJ187" s="324"/>
    </row>
    <row r="188" spans="1:36" ht="19.5">
      <c r="A188" s="21">
        <f>A187+1</f>
        <v>143</v>
      </c>
      <c r="B188" s="161" t="s">
        <v>298</v>
      </c>
      <c r="C188" s="156" t="s">
        <v>296</v>
      </c>
      <c r="D188" s="313" t="s">
        <v>79</v>
      </c>
      <c r="E188" s="314" t="s">
        <v>209</v>
      </c>
      <c r="F188" s="315">
        <f>597+30+50+50</f>
        <v>727</v>
      </c>
      <c r="G188" s="316">
        <f>F188*12</f>
        <v>8724</v>
      </c>
      <c r="H188" s="316">
        <v>60</v>
      </c>
      <c r="I188" s="323"/>
      <c r="J188" s="316">
        <f>F188</f>
        <v>727</v>
      </c>
      <c r="K188" s="316">
        <v>300</v>
      </c>
      <c r="L188" s="324"/>
      <c r="M188" s="307"/>
      <c r="N188" s="307">
        <f>F188*0.0775*13</f>
        <v>732.45249999999999</v>
      </c>
      <c r="O188" s="307"/>
      <c r="P188" s="307">
        <f>N188/13</f>
        <v>56.342500000000001</v>
      </c>
      <c r="Q188" s="324"/>
      <c r="R188" s="324"/>
      <c r="S188" s="307">
        <f>F188*0.075*13</f>
        <v>708.82499999999993</v>
      </c>
      <c r="T188" s="307">
        <f>S188/13</f>
        <v>54.524999999999991</v>
      </c>
      <c r="U188" s="324"/>
      <c r="V188" s="324"/>
      <c r="W188" s="307">
        <f>N188+Q188+S188+U188+0.01</f>
        <v>1441.2874999999999</v>
      </c>
      <c r="X188" s="307">
        <f>F188*0.01*13</f>
        <v>94.51</v>
      </c>
      <c r="Y188" s="307">
        <f>X188/13</f>
        <v>7.2700000000000005</v>
      </c>
      <c r="Z188" s="307"/>
      <c r="AA188" s="307"/>
      <c r="AB188" s="307"/>
      <c r="AC188" s="307"/>
      <c r="AD188" s="307"/>
      <c r="AE188" s="307"/>
      <c r="AF188" s="307"/>
      <c r="AG188" s="325"/>
      <c r="AH188" s="325"/>
      <c r="AI188" s="325"/>
      <c r="AJ188" s="324"/>
    </row>
    <row r="189" spans="1:36" ht="19.5">
      <c r="A189" s="21">
        <f>A188+1</f>
        <v>144</v>
      </c>
      <c r="B189" s="161" t="s">
        <v>703</v>
      </c>
      <c r="C189" s="156" t="s">
        <v>296</v>
      </c>
      <c r="D189" s="313" t="s">
        <v>79</v>
      </c>
      <c r="E189" s="314" t="s">
        <v>209</v>
      </c>
      <c r="F189" s="315">
        <f>500+17</f>
        <v>517</v>
      </c>
      <c r="G189" s="316">
        <f>F189*12</f>
        <v>6204</v>
      </c>
      <c r="H189" s="316">
        <v>60</v>
      </c>
      <c r="I189" s="323"/>
      <c r="J189" s="316">
        <f>F189</f>
        <v>517</v>
      </c>
      <c r="K189" s="316">
        <v>300</v>
      </c>
      <c r="L189" s="324"/>
      <c r="M189" s="307">
        <v>125</v>
      </c>
      <c r="N189" s="307">
        <f>F189*0.0775*13</f>
        <v>520.87750000000005</v>
      </c>
      <c r="O189" s="307">
        <f>N189/13</f>
        <v>40.067500000000003</v>
      </c>
      <c r="P189" s="307"/>
      <c r="Q189" s="307"/>
      <c r="R189" s="307"/>
      <c r="S189" s="307">
        <f>F189*0.075*13</f>
        <v>504.07499999999999</v>
      </c>
      <c r="T189" s="307">
        <f>S189/13</f>
        <v>38.774999999999999</v>
      </c>
      <c r="U189" s="307"/>
      <c r="V189" s="307"/>
      <c r="W189" s="307">
        <f>N189+Q189+S189+U189</f>
        <v>1024.9525000000001</v>
      </c>
      <c r="X189" s="307">
        <f>F189*0.01*13</f>
        <v>67.209999999999994</v>
      </c>
      <c r="Y189" s="307">
        <f>X189/13</f>
        <v>5.17</v>
      </c>
      <c r="Z189" s="307"/>
      <c r="AA189" s="307"/>
      <c r="AB189" s="307"/>
      <c r="AC189" s="307"/>
      <c r="AD189" s="307"/>
      <c r="AE189" s="307"/>
      <c r="AF189" s="307"/>
      <c r="AG189" s="325"/>
      <c r="AH189" s="325"/>
      <c r="AI189" s="325"/>
      <c r="AJ189" s="324"/>
    </row>
    <row r="190" spans="1:36">
      <c r="A190" s="21"/>
      <c r="B190" s="138" t="s">
        <v>301</v>
      </c>
      <c r="C190" s="141"/>
      <c r="D190" s="313"/>
      <c r="E190" s="314"/>
      <c r="F190" s="319">
        <f>SUM(F187:F189)</f>
        <v>2376</v>
      </c>
      <c r="G190" s="320">
        <f t="shared" ref="G190:R190" si="146">SUM(G187:G189)</f>
        <v>28512</v>
      </c>
      <c r="H190" s="320">
        <f t="shared" si="146"/>
        <v>180</v>
      </c>
      <c r="I190" s="320">
        <f t="shared" si="146"/>
        <v>0</v>
      </c>
      <c r="J190" s="320">
        <f t="shared" si="146"/>
        <v>2376</v>
      </c>
      <c r="K190" s="320">
        <f t="shared" si="146"/>
        <v>900</v>
      </c>
      <c r="L190" s="312">
        <f t="shared" si="146"/>
        <v>1000</v>
      </c>
      <c r="M190" s="312">
        <f t="shared" si="146"/>
        <v>125</v>
      </c>
      <c r="N190" s="312">
        <f t="shared" si="146"/>
        <v>2393.8200000000002</v>
      </c>
      <c r="O190" s="312">
        <f t="shared" si="146"/>
        <v>127.79750000000001</v>
      </c>
      <c r="P190" s="312">
        <f t="shared" si="146"/>
        <v>56.342500000000001</v>
      </c>
      <c r="Q190" s="312">
        <f t="shared" si="146"/>
        <v>0</v>
      </c>
      <c r="R190" s="312">
        <f t="shared" si="146"/>
        <v>0</v>
      </c>
      <c r="S190" s="312">
        <f>SUM(S187:S189)+0.01</f>
        <v>2187.91</v>
      </c>
      <c r="T190" s="312">
        <f>SUM(T187:T189)+0.01</f>
        <v>168.30999999999997</v>
      </c>
      <c r="U190" s="312">
        <f>SUM(U187:U189)</f>
        <v>0</v>
      </c>
      <c r="V190" s="312">
        <f>SUM(V187:V189)</f>
        <v>0</v>
      </c>
      <c r="W190" s="312">
        <f>SUM(W187:W189)</f>
        <v>4581.7299999999996</v>
      </c>
      <c r="X190" s="312">
        <f>SUM(X187:X189)</f>
        <v>291.71999999999997</v>
      </c>
      <c r="Y190" s="312">
        <f>SUM(Y187:Y189)</f>
        <v>22.439999999999998</v>
      </c>
      <c r="Z190" s="312">
        <f t="shared" ref="Z190:AA190" si="147">SUM(Z187:Z189)</f>
        <v>0</v>
      </c>
      <c r="AA190" s="312">
        <f t="shared" si="147"/>
        <v>0</v>
      </c>
      <c r="AB190" s="312"/>
      <c r="AC190" s="312">
        <f>SUM(AC187:AC189)</f>
        <v>0</v>
      </c>
      <c r="AD190" s="312"/>
      <c r="AE190" s="312">
        <f t="shared" ref="AE190:AF190" si="148">SUM(AE187:AE189)</f>
        <v>0</v>
      </c>
      <c r="AF190" s="312">
        <f t="shared" si="148"/>
        <v>0</v>
      </c>
      <c r="AG190" s="312"/>
      <c r="AH190" s="312"/>
      <c r="AI190" s="312"/>
      <c r="AJ190" s="312"/>
    </row>
    <row r="191" spans="1:36">
      <c r="A191" s="21">
        <f>A189+1</f>
        <v>145</v>
      </c>
      <c r="B191" s="367" t="s">
        <v>259</v>
      </c>
      <c r="C191" s="364" t="s">
        <v>260</v>
      </c>
      <c r="D191" s="313" t="s">
        <v>759</v>
      </c>
      <c r="E191" s="314" t="s">
        <v>209</v>
      </c>
      <c r="F191" s="315">
        <v>1800</v>
      </c>
      <c r="G191" s="316">
        <f t="shared" ref="G191:G194" si="149">F191*12</f>
        <v>21600</v>
      </c>
      <c r="H191" s="316">
        <v>60</v>
      </c>
      <c r="I191" s="323"/>
      <c r="J191" s="316">
        <f t="shared" ref="J191:J203" si="150">F191</f>
        <v>1800</v>
      </c>
      <c r="K191" s="316">
        <v>300</v>
      </c>
      <c r="L191" s="307"/>
      <c r="M191" s="307"/>
      <c r="N191" s="307">
        <f t="shared" ref="N191:N203" si="151">F191*0.0775*13</f>
        <v>1813.5</v>
      </c>
      <c r="O191" s="307">
        <f>N191/13</f>
        <v>139.5</v>
      </c>
      <c r="P191" s="307"/>
      <c r="Q191" s="324"/>
      <c r="R191" s="324"/>
      <c r="S191" s="307">
        <f>75*13</f>
        <v>975</v>
      </c>
      <c r="T191" s="307">
        <f t="shared" ref="T191:T203" si="152">S191/13</f>
        <v>75</v>
      </c>
      <c r="U191" s="324"/>
      <c r="V191" s="324"/>
      <c r="W191" s="307">
        <f t="shared" ref="W191:W193" si="153">N191+Q191+S191+U191</f>
        <v>2788.5</v>
      </c>
      <c r="X191" s="307">
        <f>10*13</f>
        <v>130</v>
      </c>
      <c r="Y191" s="307">
        <f t="shared" ref="Y191:Y203" si="154">X191/13</f>
        <v>10</v>
      </c>
      <c r="Z191" s="307"/>
      <c r="AA191" s="325"/>
      <c r="AB191" s="324"/>
      <c r="AC191" s="325"/>
      <c r="AD191" s="324"/>
      <c r="AE191" s="307"/>
      <c r="AF191" s="307"/>
      <c r="AG191" s="307"/>
      <c r="AH191" s="307"/>
      <c r="AI191" s="307"/>
      <c r="AJ191" s="324"/>
    </row>
    <row r="192" spans="1:36" ht="19.5">
      <c r="A192" s="55">
        <f>A191+1</f>
        <v>146</v>
      </c>
      <c r="B192" s="368" t="s">
        <v>770</v>
      </c>
      <c r="C192" s="364" t="s">
        <v>260</v>
      </c>
      <c r="D192" s="313" t="s">
        <v>79</v>
      </c>
      <c r="E192" s="314" t="s">
        <v>209</v>
      </c>
      <c r="F192" s="315">
        <f>629.57+30+50+50</f>
        <v>759.57</v>
      </c>
      <c r="G192" s="316">
        <f>F192*12</f>
        <v>9114.84</v>
      </c>
      <c r="H192" s="316">
        <v>60</v>
      </c>
      <c r="I192" s="323"/>
      <c r="J192" s="316">
        <f t="shared" si="150"/>
        <v>759.57</v>
      </c>
      <c r="K192" s="316">
        <v>300</v>
      </c>
      <c r="L192" s="307"/>
      <c r="M192" s="307"/>
      <c r="N192" s="307">
        <f t="shared" si="151"/>
        <v>765.26677500000005</v>
      </c>
      <c r="O192" s="307">
        <f>N192/13</f>
        <v>58.866675000000001</v>
      </c>
      <c r="P192" s="307"/>
      <c r="Q192" s="324"/>
      <c r="R192" s="324"/>
      <c r="S192" s="307">
        <f t="shared" ref="S192:S203" si="155">F192*0.075*13</f>
        <v>740.58075000000008</v>
      </c>
      <c r="T192" s="307">
        <f t="shared" si="152"/>
        <v>56.967750000000009</v>
      </c>
      <c r="U192" s="324"/>
      <c r="V192" s="324"/>
      <c r="W192" s="307">
        <f t="shared" si="153"/>
        <v>1505.8475250000001</v>
      </c>
      <c r="X192" s="307">
        <f t="shared" ref="X192:X203" si="156">F192*0.01*13</f>
        <v>98.744100000000003</v>
      </c>
      <c r="Y192" s="307">
        <f t="shared" si="154"/>
        <v>7.5956999999999999</v>
      </c>
      <c r="Z192" s="325"/>
      <c r="AA192" s="325"/>
      <c r="AB192" s="324"/>
      <c r="AC192" s="325"/>
      <c r="AD192" s="324"/>
      <c r="AE192" s="307"/>
      <c r="AF192" s="325"/>
      <c r="AG192" s="325"/>
      <c r="AH192" s="325"/>
      <c r="AI192" s="325"/>
      <c r="AJ192" s="324"/>
    </row>
    <row r="193" spans="1:36" ht="19.5">
      <c r="A193" s="21">
        <f t="shared" ref="A193:A203" si="157">A192+1</f>
        <v>147</v>
      </c>
      <c r="B193" s="368" t="s">
        <v>265</v>
      </c>
      <c r="C193" s="364" t="s">
        <v>260</v>
      </c>
      <c r="D193" s="313" t="s">
        <v>79</v>
      </c>
      <c r="E193" s="314" t="s">
        <v>209</v>
      </c>
      <c r="F193" s="315">
        <v>800</v>
      </c>
      <c r="G193" s="316">
        <f t="shared" si="149"/>
        <v>9600</v>
      </c>
      <c r="H193" s="316">
        <v>60</v>
      </c>
      <c r="I193" s="323"/>
      <c r="J193" s="316">
        <f t="shared" si="150"/>
        <v>800</v>
      </c>
      <c r="K193" s="316">
        <v>300</v>
      </c>
      <c r="L193" s="307"/>
      <c r="M193" s="307">
        <v>125</v>
      </c>
      <c r="N193" s="307">
        <f t="shared" si="151"/>
        <v>806</v>
      </c>
      <c r="O193" s="307">
        <f>N193/13</f>
        <v>62</v>
      </c>
      <c r="P193" s="307"/>
      <c r="Q193" s="324"/>
      <c r="R193" s="324"/>
      <c r="S193" s="307">
        <f t="shared" si="155"/>
        <v>780</v>
      </c>
      <c r="T193" s="307">
        <f t="shared" si="152"/>
        <v>60</v>
      </c>
      <c r="U193" s="324"/>
      <c r="V193" s="324"/>
      <c r="W193" s="307">
        <f t="shared" si="153"/>
        <v>1586</v>
      </c>
      <c r="X193" s="307">
        <f t="shared" si="156"/>
        <v>104</v>
      </c>
      <c r="Y193" s="307">
        <f t="shared" si="154"/>
        <v>8</v>
      </c>
      <c r="Z193" s="307">
        <f>F193/30/7*1.5*45</f>
        <v>257.14285714285717</v>
      </c>
      <c r="AA193" s="307">
        <f>Z193*0.0775</f>
        <v>19.928571428571431</v>
      </c>
      <c r="AB193" s="307"/>
      <c r="AC193" s="307">
        <f>Z193*0.075</f>
        <v>19.285714285714288</v>
      </c>
      <c r="AD193" s="307"/>
      <c r="AE193" s="307">
        <f>AA193+AB193+AC193+AD193+0.01</f>
        <v>39.22428571428572</v>
      </c>
      <c r="AF193" s="307">
        <f>Z193*0.01</f>
        <v>2.5714285714285716</v>
      </c>
      <c r="AG193" s="325"/>
      <c r="AH193" s="325"/>
      <c r="AI193" s="325"/>
      <c r="AJ193" s="324"/>
    </row>
    <row r="194" spans="1:36">
      <c r="A194" s="21">
        <f t="shared" si="157"/>
        <v>148</v>
      </c>
      <c r="B194" s="367" t="s">
        <v>787</v>
      </c>
      <c r="C194" s="364" t="s">
        <v>260</v>
      </c>
      <c r="D194" s="313" t="s">
        <v>759</v>
      </c>
      <c r="E194" s="314" t="s">
        <v>209</v>
      </c>
      <c r="F194" s="315">
        <v>600</v>
      </c>
      <c r="G194" s="316">
        <f t="shared" si="149"/>
        <v>7200</v>
      </c>
      <c r="H194" s="316">
        <v>60</v>
      </c>
      <c r="I194" s="316"/>
      <c r="J194" s="316">
        <f t="shared" si="150"/>
        <v>600</v>
      </c>
      <c r="K194" s="316">
        <v>300</v>
      </c>
      <c r="L194" s="307"/>
      <c r="M194" s="307"/>
      <c r="N194" s="307">
        <f t="shared" si="151"/>
        <v>604.5</v>
      </c>
      <c r="O194" s="307"/>
      <c r="P194" s="307">
        <f>N194/13</f>
        <v>46.5</v>
      </c>
      <c r="Q194" s="307"/>
      <c r="R194" s="307"/>
      <c r="S194" s="307">
        <f t="shared" si="155"/>
        <v>585</v>
      </c>
      <c r="T194" s="307">
        <f t="shared" si="152"/>
        <v>45</v>
      </c>
      <c r="U194" s="307"/>
      <c r="V194" s="307"/>
      <c r="W194" s="307">
        <f>N194+Q194+S194+U194</f>
        <v>1189.5</v>
      </c>
      <c r="X194" s="307">
        <f t="shared" si="156"/>
        <v>78</v>
      </c>
      <c r="Y194" s="307">
        <f t="shared" si="154"/>
        <v>6</v>
      </c>
      <c r="Z194" s="307"/>
      <c r="AA194" s="307"/>
      <c r="AB194" s="307"/>
      <c r="AC194" s="307"/>
      <c r="AD194" s="307"/>
      <c r="AE194" s="307"/>
      <c r="AF194" s="307"/>
      <c r="AG194" s="307"/>
      <c r="AH194" s="307"/>
      <c r="AI194" s="307"/>
      <c r="AJ194" s="307"/>
    </row>
    <row r="195" spans="1:36">
      <c r="A195" s="21">
        <f t="shared" si="157"/>
        <v>149</v>
      </c>
      <c r="B195" s="367" t="s">
        <v>787</v>
      </c>
      <c r="C195" s="364" t="s">
        <v>260</v>
      </c>
      <c r="D195" s="313" t="s">
        <v>759</v>
      </c>
      <c r="E195" s="314" t="s">
        <v>209</v>
      </c>
      <c r="F195" s="315">
        <v>600</v>
      </c>
      <c r="G195" s="316">
        <f t="shared" ref="G195:G203" si="158">F195*12</f>
        <v>7200</v>
      </c>
      <c r="H195" s="316">
        <v>60</v>
      </c>
      <c r="I195" s="316"/>
      <c r="J195" s="316">
        <f t="shared" si="150"/>
        <v>600</v>
      </c>
      <c r="K195" s="316">
        <v>300</v>
      </c>
      <c r="L195" s="307"/>
      <c r="M195" s="307"/>
      <c r="N195" s="307">
        <f t="shared" si="151"/>
        <v>604.5</v>
      </c>
      <c r="O195" s="307">
        <f>N195/13</f>
        <v>46.5</v>
      </c>
      <c r="P195" s="307"/>
      <c r="Q195" s="324"/>
      <c r="R195" s="324"/>
      <c r="S195" s="307">
        <f t="shared" si="155"/>
        <v>585</v>
      </c>
      <c r="T195" s="307">
        <f>S195/13</f>
        <v>45</v>
      </c>
      <c r="U195" s="324"/>
      <c r="V195" s="324"/>
      <c r="W195" s="307">
        <f>N195+Q195+S195+U195</f>
        <v>1189.5</v>
      </c>
      <c r="X195" s="307">
        <f t="shared" si="156"/>
        <v>78</v>
      </c>
      <c r="Y195" s="307">
        <f>X195/13</f>
        <v>6</v>
      </c>
      <c r="Z195" s="307"/>
      <c r="AA195" s="307"/>
      <c r="AB195" s="324"/>
      <c r="AC195" s="307"/>
      <c r="AD195" s="324"/>
      <c r="AE195" s="307"/>
      <c r="AF195" s="307"/>
      <c r="AG195" s="307"/>
      <c r="AH195" s="307"/>
      <c r="AI195" s="307"/>
      <c r="AJ195" s="324"/>
    </row>
    <row r="196" spans="1:36" ht="19.5">
      <c r="A196" s="21">
        <f t="shared" si="157"/>
        <v>150</v>
      </c>
      <c r="B196" s="365" t="s">
        <v>162</v>
      </c>
      <c r="C196" s="364" t="s">
        <v>260</v>
      </c>
      <c r="D196" s="313" t="s">
        <v>79</v>
      </c>
      <c r="E196" s="314" t="s">
        <v>209</v>
      </c>
      <c r="F196" s="315">
        <v>759.57</v>
      </c>
      <c r="G196" s="316">
        <f t="shared" si="158"/>
        <v>9114.84</v>
      </c>
      <c r="H196" s="316">
        <v>60</v>
      </c>
      <c r="I196" s="323"/>
      <c r="J196" s="316">
        <f t="shared" si="150"/>
        <v>759.57</v>
      </c>
      <c r="K196" s="316">
        <v>300</v>
      </c>
      <c r="L196" s="307"/>
      <c r="M196" s="307">
        <v>125</v>
      </c>
      <c r="N196" s="307">
        <f t="shared" si="151"/>
        <v>765.26677500000005</v>
      </c>
      <c r="O196" s="307">
        <f>N196/13</f>
        <v>58.866675000000001</v>
      </c>
      <c r="P196" s="307"/>
      <c r="Q196" s="324"/>
      <c r="R196" s="324"/>
      <c r="S196" s="307">
        <f t="shared" si="155"/>
        <v>740.58075000000008</v>
      </c>
      <c r="T196" s="307">
        <f>S196/13</f>
        <v>56.967750000000009</v>
      </c>
      <c r="U196" s="324"/>
      <c r="V196" s="324"/>
      <c r="W196" s="307">
        <f>N196+Q196+S196+U196</f>
        <v>1505.8475250000001</v>
      </c>
      <c r="X196" s="307">
        <f t="shared" si="156"/>
        <v>98.744100000000003</v>
      </c>
      <c r="Y196" s="307">
        <f>X196/13</f>
        <v>7.5956999999999999</v>
      </c>
      <c r="Z196" s="307"/>
      <c r="AA196" s="307"/>
      <c r="AB196" s="324"/>
      <c r="AC196" s="307"/>
      <c r="AD196" s="307"/>
      <c r="AE196" s="307"/>
      <c r="AF196" s="307"/>
      <c r="AG196" s="325"/>
      <c r="AH196" s="325"/>
      <c r="AI196" s="325"/>
      <c r="AJ196" s="324"/>
    </row>
    <row r="197" spans="1:36" ht="19.5">
      <c r="A197" s="21">
        <f t="shared" si="157"/>
        <v>151</v>
      </c>
      <c r="B197" s="365" t="s">
        <v>271</v>
      </c>
      <c r="C197" s="364" t="s">
        <v>260</v>
      </c>
      <c r="D197" s="313" t="s">
        <v>79</v>
      </c>
      <c r="E197" s="314" t="s">
        <v>209</v>
      </c>
      <c r="F197" s="315">
        <f>597+30+50+50</f>
        <v>727</v>
      </c>
      <c r="G197" s="316">
        <f t="shared" si="158"/>
        <v>8724</v>
      </c>
      <c r="H197" s="316">
        <v>60</v>
      </c>
      <c r="I197" s="316"/>
      <c r="J197" s="316">
        <f t="shared" si="150"/>
        <v>727</v>
      </c>
      <c r="K197" s="316">
        <v>300</v>
      </c>
      <c r="L197" s="307"/>
      <c r="M197" s="307">
        <v>125</v>
      </c>
      <c r="N197" s="307">
        <f t="shared" si="151"/>
        <v>732.45249999999999</v>
      </c>
      <c r="O197" s="321"/>
      <c r="P197" s="307">
        <f>N197/13</f>
        <v>56.342500000000001</v>
      </c>
      <c r="Q197" s="307"/>
      <c r="R197" s="307"/>
      <c r="S197" s="307">
        <f t="shared" si="155"/>
        <v>708.82499999999993</v>
      </c>
      <c r="T197" s="307">
        <f>S197/13</f>
        <v>54.524999999999991</v>
      </c>
      <c r="U197" s="307"/>
      <c r="V197" s="307"/>
      <c r="W197" s="307">
        <f>N197+Q197+S197+U197+0.01</f>
        <v>1441.2874999999999</v>
      </c>
      <c r="X197" s="307">
        <f t="shared" si="156"/>
        <v>94.51</v>
      </c>
      <c r="Y197" s="307">
        <f>X197/13</f>
        <v>7.2700000000000005</v>
      </c>
      <c r="Z197" s="307"/>
      <c r="AA197" s="307"/>
      <c r="AB197" s="307"/>
      <c r="AC197" s="307"/>
      <c r="AD197" s="307"/>
      <c r="AE197" s="307"/>
      <c r="AF197" s="307"/>
      <c r="AG197" s="307"/>
      <c r="AH197" s="307"/>
      <c r="AI197" s="307"/>
      <c r="AJ197" s="307"/>
    </row>
    <row r="198" spans="1:36" ht="19.5">
      <c r="A198" s="21">
        <f t="shared" si="157"/>
        <v>152</v>
      </c>
      <c r="B198" s="365" t="s">
        <v>275</v>
      </c>
      <c r="C198" s="364" t="s">
        <v>260</v>
      </c>
      <c r="D198" s="313" t="s">
        <v>79</v>
      </c>
      <c r="E198" s="314" t="s">
        <v>209</v>
      </c>
      <c r="F198" s="315">
        <f>647+50</f>
        <v>697</v>
      </c>
      <c r="G198" s="316">
        <f t="shared" si="158"/>
        <v>8364</v>
      </c>
      <c r="H198" s="316">
        <v>60</v>
      </c>
      <c r="I198" s="323"/>
      <c r="J198" s="316">
        <f t="shared" si="150"/>
        <v>697</v>
      </c>
      <c r="K198" s="316">
        <v>300</v>
      </c>
      <c r="L198" s="307"/>
      <c r="M198" s="307">
        <v>125</v>
      </c>
      <c r="N198" s="307">
        <f t="shared" si="151"/>
        <v>702.22749999999996</v>
      </c>
      <c r="O198" s="321"/>
      <c r="P198" s="307">
        <f>N198/13</f>
        <v>54.017499999999998</v>
      </c>
      <c r="Q198" s="324"/>
      <c r="R198" s="324"/>
      <c r="S198" s="307">
        <f t="shared" si="155"/>
        <v>679.57499999999993</v>
      </c>
      <c r="T198" s="307">
        <f>S198/13</f>
        <v>52.274999999999991</v>
      </c>
      <c r="U198" s="324"/>
      <c r="V198" s="324"/>
      <c r="W198" s="307">
        <f t="shared" ref="W198:W203" si="159">N198+Q198+S198+U198</f>
        <v>1381.8024999999998</v>
      </c>
      <c r="X198" s="307">
        <f t="shared" si="156"/>
        <v>90.61</v>
      </c>
      <c r="Y198" s="307">
        <f>X198/13</f>
        <v>6.97</v>
      </c>
      <c r="Z198" s="325"/>
      <c r="AA198" s="325"/>
      <c r="AB198" s="324"/>
      <c r="AC198" s="325"/>
      <c r="AD198" s="324"/>
      <c r="AE198" s="307"/>
      <c r="AF198" s="325"/>
      <c r="AG198" s="325"/>
      <c r="AH198" s="325"/>
      <c r="AI198" s="325"/>
      <c r="AJ198" s="324"/>
    </row>
    <row r="199" spans="1:36">
      <c r="A199" s="21">
        <f t="shared" si="157"/>
        <v>153</v>
      </c>
      <c r="B199" s="369" t="s">
        <v>275</v>
      </c>
      <c r="C199" s="364" t="s">
        <v>260</v>
      </c>
      <c r="D199" s="313" t="s">
        <v>759</v>
      </c>
      <c r="E199" s="314" t="s">
        <v>209</v>
      </c>
      <c r="F199" s="315">
        <f>567+30+50</f>
        <v>647</v>
      </c>
      <c r="G199" s="316">
        <f t="shared" si="158"/>
        <v>7764</v>
      </c>
      <c r="H199" s="316">
        <v>60</v>
      </c>
      <c r="I199" s="323"/>
      <c r="J199" s="316">
        <f t="shared" si="150"/>
        <v>647</v>
      </c>
      <c r="K199" s="316">
        <v>300</v>
      </c>
      <c r="L199" s="324"/>
      <c r="M199" s="307"/>
      <c r="N199" s="307">
        <f t="shared" si="151"/>
        <v>651.85249999999996</v>
      </c>
      <c r="O199" s="307"/>
      <c r="P199" s="307">
        <f>N199/13</f>
        <v>50.142499999999998</v>
      </c>
      <c r="Q199" s="324"/>
      <c r="R199" s="324"/>
      <c r="S199" s="307">
        <f t="shared" si="155"/>
        <v>630.82499999999993</v>
      </c>
      <c r="T199" s="307">
        <f t="shared" si="152"/>
        <v>48.524999999999991</v>
      </c>
      <c r="U199" s="324"/>
      <c r="V199" s="324"/>
      <c r="W199" s="307">
        <f>N199+Q199+S199+U199</f>
        <v>1282.6774999999998</v>
      </c>
      <c r="X199" s="307">
        <f t="shared" si="156"/>
        <v>84.11</v>
      </c>
      <c r="Y199" s="307">
        <f t="shared" si="154"/>
        <v>6.47</v>
      </c>
      <c r="Z199" s="325"/>
      <c r="AA199" s="325"/>
      <c r="AB199" s="324"/>
      <c r="AC199" s="325"/>
      <c r="AD199" s="324"/>
      <c r="AE199" s="307"/>
      <c r="AF199" s="325"/>
      <c r="AG199" s="325"/>
      <c r="AH199" s="325"/>
      <c r="AI199" s="325"/>
      <c r="AJ199" s="324"/>
    </row>
    <row r="200" spans="1:36" ht="19.5">
      <c r="A200" s="21">
        <f t="shared" si="157"/>
        <v>154</v>
      </c>
      <c r="B200" s="365" t="s">
        <v>275</v>
      </c>
      <c r="C200" s="364" t="s">
        <v>260</v>
      </c>
      <c r="D200" s="313" t="s">
        <v>79</v>
      </c>
      <c r="E200" s="314" t="s">
        <v>209</v>
      </c>
      <c r="F200" s="315">
        <f>567+30+50+50</f>
        <v>697</v>
      </c>
      <c r="G200" s="316">
        <f t="shared" si="158"/>
        <v>8364</v>
      </c>
      <c r="H200" s="316">
        <v>60</v>
      </c>
      <c r="I200" s="323"/>
      <c r="J200" s="316">
        <f>F200</f>
        <v>697</v>
      </c>
      <c r="K200" s="316">
        <v>300</v>
      </c>
      <c r="L200" s="307"/>
      <c r="M200" s="307">
        <v>125</v>
      </c>
      <c r="N200" s="307">
        <f t="shared" si="151"/>
        <v>702.22749999999996</v>
      </c>
      <c r="O200" s="307">
        <f>N200/13</f>
        <v>54.017499999999998</v>
      </c>
      <c r="P200" s="307"/>
      <c r="Q200" s="324"/>
      <c r="R200" s="324"/>
      <c r="S200" s="307">
        <f t="shared" si="155"/>
        <v>679.57499999999993</v>
      </c>
      <c r="T200" s="307">
        <f>S200/13</f>
        <v>52.274999999999991</v>
      </c>
      <c r="U200" s="324"/>
      <c r="V200" s="324"/>
      <c r="W200" s="307">
        <f>N200+Q200+S200+U200</f>
        <v>1381.8024999999998</v>
      </c>
      <c r="X200" s="307">
        <f t="shared" si="156"/>
        <v>90.61</v>
      </c>
      <c r="Y200" s="307">
        <f>X200/13</f>
        <v>6.97</v>
      </c>
      <c r="Z200" s="325"/>
      <c r="AA200" s="325"/>
      <c r="AB200" s="324"/>
      <c r="AC200" s="325"/>
      <c r="AD200" s="324"/>
      <c r="AE200" s="307"/>
      <c r="AF200" s="325"/>
      <c r="AG200" s="325"/>
      <c r="AH200" s="325"/>
      <c r="AI200" s="325"/>
      <c r="AJ200" s="324"/>
    </row>
    <row r="201" spans="1:36" ht="19.5">
      <c r="A201" s="21">
        <f t="shared" si="157"/>
        <v>155</v>
      </c>
      <c r="B201" s="365" t="s">
        <v>277</v>
      </c>
      <c r="C201" s="364" t="s">
        <v>260</v>
      </c>
      <c r="D201" s="313" t="s">
        <v>79</v>
      </c>
      <c r="E201" s="314" t="s">
        <v>209</v>
      </c>
      <c r="F201" s="315">
        <f>500+17</f>
        <v>517</v>
      </c>
      <c r="G201" s="316">
        <f t="shared" si="158"/>
        <v>6204</v>
      </c>
      <c r="H201" s="316">
        <v>60</v>
      </c>
      <c r="I201" s="323"/>
      <c r="J201" s="316">
        <f t="shared" si="150"/>
        <v>517</v>
      </c>
      <c r="K201" s="316">
        <v>300</v>
      </c>
      <c r="L201" s="324"/>
      <c r="M201" s="307"/>
      <c r="N201" s="307">
        <f t="shared" si="151"/>
        <v>520.87750000000005</v>
      </c>
      <c r="O201" s="307"/>
      <c r="P201" s="307">
        <f>N201/13</f>
        <v>40.067500000000003</v>
      </c>
      <c r="Q201" s="324"/>
      <c r="R201" s="324"/>
      <c r="S201" s="307">
        <f t="shared" si="155"/>
        <v>504.07499999999999</v>
      </c>
      <c r="T201" s="307">
        <f t="shared" si="152"/>
        <v>38.774999999999999</v>
      </c>
      <c r="U201" s="324"/>
      <c r="V201" s="324"/>
      <c r="W201" s="307">
        <f t="shared" si="159"/>
        <v>1024.9525000000001</v>
      </c>
      <c r="X201" s="307">
        <f t="shared" si="156"/>
        <v>67.209999999999994</v>
      </c>
      <c r="Y201" s="307">
        <f t="shared" si="154"/>
        <v>5.17</v>
      </c>
      <c r="Z201" s="325"/>
      <c r="AA201" s="325"/>
      <c r="AB201" s="324"/>
      <c r="AC201" s="325"/>
      <c r="AD201" s="324"/>
      <c r="AE201" s="307"/>
      <c r="AF201" s="325"/>
      <c r="AG201" s="325"/>
      <c r="AH201" s="325"/>
      <c r="AI201" s="325"/>
      <c r="AJ201" s="324"/>
    </row>
    <row r="202" spans="1:36">
      <c r="A202" s="21">
        <f t="shared" si="157"/>
        <v>156</v>
      </c>
      <c r="B202" s="367" t="s">
        <v>280</v>
      </c>
      <c r="C202" s="364" t="s">
        <v>260</v>
      </c>
      <c r="D202" s="313" t="s">
        <v>759</v>
      </c>
      <c r="E202" s="314" t="s">
        <v>209</v>
      </c>
      <c r="F202" s="315">
        <v>417</v>
      </c>
      <c r="G202" s="316">
        <f t="shared" si="158"/>
        <v>5004</v>
      </c>
      <c r="H202" s="316">
        <v>60</v>
      </c>
      <c r="I202" s="316"/>
      <c r="J202" s="316">
        <f t="shared" si="150"/>
        <v>417</v>
      </c>
      <c r="K202" s="316">
        <v>300</v>
      </c>
      <c r="L202" s="307"/>
      <c r="M202" s="307"/>
      <c r="N202" s="307">
        <f t="shared" si="151"/>
        <v>420.12750000000005</v>
      </c>
      <c r="O202" s="321"/>
      <c r="P202" s="307">
        <f>N202/13</f>
        <v>32.317500000000003</v>
      </c>
      <c r="Q202" s="307"/>
      <c r="R202" s="307"/>
      <c r="S202" s="307">
        <f t="shared" si="155"/>
        <v>406.57499999999999</v>
      </c>
      <c r="T202" s="307">
        <f>S202/13</f>
        <v>31.274999999999999</v>
      </c>
      <c r="U202" s="307"/>
      <c r="V202" s="307"/>
      <c r="W202" s="307">
        <f>N202+Q202+S202+U202+0.01</f>
        <v>826.71250000000009</v>
      </c>
      <c r="X202" s="307">
        <f t="shared" si="156"/>
        <v>54.21</v>
      </c>
      <c r="Y202" s="307">
        <f>X202/13</f>
        <v>4.17</v>
      </c>
      <c r="Z202" s="307"/>
      <c r="AA202" s="307"/>
      <c r="AB202" s="307"/>
      <c r="AC202" s="307"/>
      <c r="AD202" s="307"/>
      <c r="AE202" s="307"/>
      <c r="AF202" s="307"/>
      <c r="AG202" s="307"/>
      <c r="AH202" s="307"/>
      <c r="AI202" s="307"/>
      <c r="AJ202" s="307"/>
    </row>
    <row r="203" spans="1:36" ht="19.5">
      <c r="A203" s="21">
        <f t="shared" si="157"/>
        <v>157</v>
      </c>
      <c r="B203" s="368" t="s">
        <v>282</v>
      </c>
      <c r="C203" s="364" t="s">
        <v>260</v>
      </c>
      <c r="D203" s="313" t="s">
        <v>79</v>
      </c>
      <c r="E203" s="314" t="s">
        <v>209</v>
      </c>
      <c r="F203" s="315">
        <f>627+50</f>
        <v>677</v>
      </c>
      <c r="G203" s="316">
        <f t="shared" si="158"/>
        <v>8124</v>
      </c>
      <c r="H203" s="316">
        <v>60</v>
      </c>
      <c r="I203" s="316"/>
      <c r="J203" s="316">
        <f t="shared" si="150"/>
        <v>677</v>
      </c>
      <c r="K203" s="316">
        <v>300</v>
      </c>
      <c r="L203" s="307"/>
      <c r="M203" s="307"/>
      <c r="N203" s="307">
        <f t="shared" si="151"/>
        <v>682.07749999999999</v>
      </c>
      <c r="O203" s="307">
        <f>N203/13</f>
        <v>52.467500000000001</v>
      </c>
      <c r="P203" s="307"/>
      <c r="Q203" s="307"/>
      <c r="R203" s="307"/>
      <c r="S203" s="307">
        <f t="shared" si="155"/>
        <v>660.07499999999993</v>
      </c>
      <c r="T203" s="307">
        <f t="shared" si="152"/>
        <v>50.774999999999991</v>
      </c>
      <c r="U203" s="307"/>
      <c r="V203" s="307"/>
      <c r="W203" s="307">
        <f t="shared" si="159"/>
        <v>1342.1524999999999</v>
      </c>
      <c r="X203" s="307">
        <f t="shared" si="156"/>
        <v>88.01</v>
      </c>
      <c r="Y203" s="307">
        <f t="shared" si="154"/>
        <v>6.7700000000000005</v>
      </c>
      <c r="Z203" s="307"/>
      <c r="AA203" s="307"/>
      <c r="AB203" s="307"/>
      <c r="AC203" s="307"/>
      <c r="AD203" s="307"/>
      <c r="AE203" s="307"/>
      <c r="AF203" s="307"/>
      <c r="AG203" s="307"/>
      <c r="AH203" s="307"/>
      <c r="AI203" s="307"/>
      <c r="AJ203" s="307"/>
    </row>
    <row r="204" spans="1:36">
      <c r="A204" s="21"/>
      <c r="B204" s="138" t="s">
        <v>283</v>
      </c>
      <c r="C204" s="107"/>
      <c r="D204" s="313"/>
      <c r="E204" s="314"/>
      <c r="F204" s="319">
        <f t="shared" ref="F204:M204" si="160">SUM(F191:F203)</f>
        <v>9698.14</v>
      </c>
      <c r="G204" s="320">
        <f t="shared" si="160"/>
        <v>116377.68</v>
      </c>
      <c r="H204" s="320">
        <f t="shared" si="160"/>
        <v>780</v>
      </c>
      <c r="I204" s="320">
        <f t="shared" si="160"/>
        <v>0</v>
      </c>
      <c r="J204" s="320">
        <f t="shared" si="160"/>
        <v>9698.14</v>
      </c>
      <c r="K204" s="320">
        <f t="shared" si="160"/>
        <v>3900</v>
      </c>
      <c r="L204" s="312">
        <f t="shared" si="160"/>
        <v>0</v>
      </c>
      <c r="M204" s="312">
        <f t="shared" si="160"/>
        <v>625</v>
      </c>
      <c r="N204" s="312">
        <f>SUM(N191:N203)+0.01</f>
        <v>9770.886050000001</v>
      </c>
      <c r="O204" s="312">
        <f>SUM(O191:O203)+0.01</f>
        <v>472.22834999999998</v>
      </c>
      <c r="P204" s="312">
        <f>SUM(P191:P203)</f>
        <v>279.38749999999999</v>
      </c>
      <c r="Q204" s="312">
        <f>SUM(Q191:Q203)</f>
        <v>0</v>
      </c>
      <c r="R204" s="312">
        <f>SUM(R191:R203)</f>
        <v>0</v>
      </c>
      <c r="S204" s="312">
        <f>SUM(S191:S203)+0.03</f>
        <v>8675.7165000000005</v>
      </c>
      <c r="T204" s="312">
        <f>SUM(T191:T203)+0.03</f>
        <v>667.39049999999986</v>
      </c>
      <c r="U204" s="312">
        <f>SUM(U191:U203)</f>
        <v>0</v>
      </c>
      <c r="V204" s="312">
        <f>SUM(V191:V203)</f>
        <v>0</v>
      </c>
      <c r="W204" s="312">
        <f>SUM(W191:W203)+0.01</f>
        <v>18446.592550000001</v>
      </c>
      <c r="X204" s="312">
        <f>SUM(X191:X203)-0.01</f>
        <v>1156.7482</v>
      </c>
      <c r="Y204" s="312">
        <f>SUM(Y191:Y203)+0.01</f>
        <v>88.991400000000013</v>
      </c>
      <c r="Z204" s="312">
        <f t="shared" ref="Z204:AF204" si="161">SUM(Z191:Z203)</f>
        <v>257.14285714285717</v>
      </c>
      <c r="AA204" s="312">
        <f t="shared" si="161"/>
        <v>19.928571428571431</v>
      </c>
      <c r="AB204" s="312">
        <f t="shared" si="161"/>
        <v>0</v>
      </c>
      <c r="AC204" s="312">
        <f t="shared" si="161"/>
        <v>19.285714285714288</v>
      </c>
      <c r="AD204" s="312">
        <f t="shared" si="161"/>
        <v>0</v>
      </c>
      <c r="AE204" s="312">
        <f t="shared" si="161"/>
        <v>39.22428571428572</v>
      </c>
      <c r="AF204" s="312">
        <f t="shared" si="161"/>
        <v>2.5714285714285716</v>
      </c>
      <c r="AG204" s="312"/>
      <c r="AH204" s="312"/>
      <c r="AI204" s="312"/>
      <c r="AJ204" s="312"/>
    </row>
    <row r="205" spans="1:36" ht="19.5">
      <c r="A205" s="21">
        <f>A203+1</f>
        <v>158</v>
      </c>
      <c r="B205" s="365" t="s">
        <v>285</v>
      </c>
      <c r="C205" s="364" t="s">
        <v>286</v>
      </c>
      <c r="D205" s="313" t="s">
        <v>79</v>
      </c>
      <c r="E205" s="314" t="s">
        <v>209</v>
      </c>
      <c r="F205" s="315">
        <v>1300</v>
      </c>
      <c r="G205" s="316">
        <f>F205*12</f>
        <v>15600</v>
      </c>
      <c r="H205" s="316">
        <v>60</v>
      </c>
      <c r="I205" s="323"/>
      <c r="J205" s="316">
        <f>F205</f>
        <v>1300</v>
      </c>
      <c r="K205" s="316">
        <v>300</v>
      </c>
      <c r="L205" s="307"/>
      <c r="M205" s="307">
        <v>125</v>
      </c>
      <c r="N205" s="307">
        <f>F205*0.0775*13</f>
        <v>1309.75</v>
      </c>
      <c r="O205" s="321"/>
      <c r="P205" s="307">
        <f>N205/13</f>
        <v>100.75</v>
      </c>
      <c r="Q205" s="324"/>
      <c r="R205" s="324"/>
      <c r="S205" s="307">
        <v>975</v>
      </c>
      <c r="T205" s="307">
        <f>S205/13</f>
        <v>75</v>
      </c>
      <c r="U205" s="324"/>
      <c r="V205" s="324"/>
      <c r="W205" s="307">
        <f>N205+Q205+S205+U205</f>
        <v>2284.75</v>
      </c>
      <c r="X205" s="307">
        <v>130</v>
      </c>
      <c r="Y205" s="307">
        <f>X205/13</f>
        <v>10</v>
      </c>
      <c r="Z205" s="325"/>
      <c r="AA205" s="325"/>
      <c r="AB205" s="324"/>
      <c r="AC205" s="325"/>
      <c r="AD205" s="324"/>
      <c r="AE205" s="307"/>
      <c r="AF205" s="325"/>
      <c r="AG205" s="325"/>
      <c r="AH205" s="325"/>
      <c r="AI205" s="325"/>
      <c r="AJ205" s="324"/>
    </row>
    <row r="206" spans="1:36" ht="19.5">
      <c r="A206" s="55">
        <f>A205+1</f>
        <v>159</v>
      </c>
      <c r="B206" s="366" t="s">
        <v>288</v>
      </c>
      <c r="C206" s="364" t="s">
        <v>286</v>
      </c>
      <c r="D206" s="313" t="s">
        <v>79</v>
      </c>
      <c r="E206" s="314" t="s">
        <v>209</v>
      </c>
      <c r="F206" s="315">
        <v>837</v>
      </c>
      <c r="G206" s="316">
        <f>F206*12</f>
        <v>10044</v>
      </c>
      <c r="H206" s="316">
        <v>60</v>
      </c>
      <c r="I206" s="316"/>
      <c r="J206" s="316">
        <f>F206</f>
        <v>837</v>
      </c>
      <c r="K206" s="316">
        <v>300</v>
      </c>
      <c r="L206" s="307"/>
      <c r="M206" s="307">
        <v>125</v>
      </c>
      <c r="N206" s="307">
        <f>F206*0.0775*13</f>
        <v>843.27749999999992</v>
      </c>
      <c r="O206" s="307">
        <f>N206/13</f>
        <v>64.867499999999993</v>
      </c>
      <c r="P206" s="307"/>
      <c r="Q206" s="307"/>
      <c r="R206" s="307"/>
      <c r="S206" s="307">
        <f>F206*0.075*13</f>
        <v>816.07499999999993</v>
      </c>
      <c r="T206" s="307">
        <f>S206/13</f>
        <v>62.774999999999991</v>
      </c>
      <c r="U206" s="307"/>
      <c r="V206" s="307"/>
      <c r="W206" s="307">
        <f>N206+Q206+S206+U206+0.01</f>
        <v>1659.3625</v>
      </c>
      <c r="X206" s="307">
        <f>F206*0.01*13</f>
        <v>108.81000000000002</v>
      </c>
      <c r="Y206" s="307">
        <f>X206/13</f>
        <v>8.370000000000001</v>
      </c>
      <c r="Z206" s="307"/>
      <c r="AA206" s="307"/>
      <c r="AB206" s="307"/>
      <c r="AC206" s="307"/>
      <c r="AD206" s="307"/>
      <c r="AE206" s="307"/>
      <c r="AF206" s="307"/>
      <c r="AG206" s="307"/>
      <c r="AH206" s="307"/>
      <c r="AI206" s="307"/>
      <c r="AJ206" s="307"/>
    </row>
    <row r="207" spans="1:36" ht="19.5">
      <c r="A207" s="55">
        <f t="shared" ref="A207:A209" si="162">A206+1</f>
        <v>160</v>
      </c>
      <c r="B207" s="365" t="s">
        <v>290</v>
      </c>
      <c r="C207" s="364" t="s">
        <v>286</v>
      </c>
      <c r="D207" s="313" t="s">
        <v>79</v>
      </c>
      <c r="E207" s="314" t="s">
        <v>209</v>
      </c>
      <c r="F207" s="315">
        <v>597</v>
      </c>
      <c r="G207" s="316">
        <f>F207*12</f>
        <v>7164</v>
      </c>
      <c r="H207" s="316">
        <v>60</v>
      </c>
      <c r="I207" s="323"/>
      <c r="J207" s="316">
        <f>F207</f>
        <v>597</v>
      </c>
      <c r="K207" s="316">
        <v>300</v>
      </c>
      <c r="L207" s="324"/>
      <c r="M207" s="307">
        <v>125</v>
      </c>
      <c r="N207" s="307">
        <f>F207*0.0775*13</f>
        <v>601.47749999999996</v>
      </c>
      <c r="O207" s="307">
        <f>N207/13</f>
        <v>46.267499999999998</v>
      </c>
      <c r="P207" s="321"/>
      <c r="Q207" s="324"/>
      <c r="R207" s="324"/>
      <c r="S207" s="307">
        <f>F207*0.075*13</f>
        <v>582.07499999999993</v>
      </c>
      <c r="T207" s="307">
        <f>S207/13</f>
        <v>44.774999999999991</v>
      </c>
      <c r="U207" s="324"/>
      <c r="V207" s="324"/>
      <c r="W207" s="307">
        <f>N207+Q207+S207+U207+0.01</f>
        <v>1183.5624999999998</v>
      </c>
      <c r="X207" s="307">
        <f>F207*0.01*13</f>
        <v>77.61</v>
      </c>
      <c r="Y207" s="307">
        <f>X207/13</f>
        <v>5.97</v>
      </c>
      <c r="Z207" s="325"/>
      <c r="AA207" s="325"/>
      <c r="AB207" s="324"/>
      <c r="AC207" s="324"/>
      <c r="AD207" s="324"/>
      <c r="AE207" s="307"/>
      <c r="AF207" s="325"/>
      <c r="AG207" s="325"/>
      <c r="AH207" s="325"/>
      <c r="AI207" s="325"/>
      <c r="AJ207" s="324"/>
    </row>
    <row r="208" spans="1:36" ht="19.5" customHeight="1">
      <c r="A208" s="55">
        <f t="shared" si="162"/>
        <v>161</v>
      </c>
      <c r="B208" s="367" t="s">
        <v>292</v>
      </c>
      <c r="C208" s="364" t="s">
        <v>286</v>
      </c>
      <c r="D208" s="313" t="s">
        <v>759</v>
      </c>
      <c r="E208" s="314" t="s">
        <v>209</v>
      </c>
      <c r="F208" s="315">
        <v>567</v>
      </c>
      <c r="G208" s="316">
        <f>F208*12</f>
        <v>6804</v>
      </c>
      <c r="H208" s="316">
        <v>60</v>
      </c>
      <c r="I208" s="323"/>
      <c r="J208" s="316">
        <f>F208</f>
        <v>567</v>
      </c>
      <c r="K208" s="316">
        <v>300</v>
      </c>
      <c r="L208" s="324"/>
      <c r="M208" s="307"/>
      <c r="N208" s="307">
        <f>F208*0.0775*13</f>
        <v>571.25250000000005</v>
      </c>
      <c r="O208" s="307"/>
      <c r="P208" s="307">
        <f>N208/13</f>
        <v>43.942500000000003</v>
      </c>
      <c r="Q208" s="324"/>
      <c r="R208" s="324"/>
      <c r="S208" s="307">
        <f>F208*0.075*13</f>
        <v>552.82499999999993</v>
      </c>
      <c r="T208" s="307">
        <f>S208/13</f>
        <v>42.524999999999991</v>
      </c>
      <c r="U208" s="324"/>
      <c r="V208" s="324"/>
      <c r="W208" s="307">
        <f>N208+Q208+S208+U208</f>
        <v>1124.0774999999999</v>
      </c>
      <c r="X208" s="307">
        <f>F208*0.01*13</f>
        <v>73.709999999999994</v>
      </c>
      <c r="Y208" s="307">
        <f>X208/13</f>
        <v>5.67</v>
      </c>
      <c r="Z208" s="325"/>
      <c r="AA208" s="325"/>
      <c r="AB208" s="324"/>
      <c r="AC208" s="325"/>
      <c r="AD208" s="324"/>
      <c r="AE208" s="307"/>
      <c r="AF208" s="325"/>
      <c r="AG208" s="325"/>
      <c r="AH208" s="325"/>
      <c r="AI208" s="325"/>
      <c r="AJ208" s="324"/>
    </row>
    <row r="209" spans="1:36" ht="19.5">
      <c r="A209" s="55">
        <f t="shared" si="162"/>
        <v>162</v>
      </c>
      <c r="B209" s="365" t="s">
        <v>292</v>
      </c>
      <c r="C209" s="364" t="s">
        <v>286</v>
      </c>
      <c r="D209" s="313" t="s">
        <v>79</v>
      </c>
      <c r="E209" s="314" t="s">
        <v>209</v>
      </c>
      <c r="F209" s="315">
        <v>597</v>
      </c>
      <c r="G209" s="316">
        <f>F209*12</f>
        <v>7164</v>
      </c>
      <c r="H209" s="316">
        <v>60</v>
      </c>
      <c r="I209" s="323"/>
      <c r="J209" s="316">
        <f>F209</f>
        <v>597</v>
      </c>
      <c r="K209" s="316">
        <v>300</v>
      </c>
      <c r="L209" s="324"/>
      <c r="M209" s="307"/>
      <c r="N209" s="307">
        <f>F209*0.0775*13</f>
        <v>601.47749999999996</v>
      </c>
      <c r="O209" s="307"/>
      <c r="P209" s="307">
        <f>N209/13</f>
        <v>46.267499999999998</v>
      </c>
      <c r="Q209" s="324"/>
      <c r="R209" s="324"/>
      <c r="S209" s="307">
        <f>F209*0.075*13</f>
        <v>582.07499999999993</v>
      </c>
      <c r="T209" s="307">
        <f>S209/13</f>
        <v>44.774999999999991</v>
      </c>
      <c r="U209" s="324"/>
      <c r="V209" s="324"/>
      <c r="W209" s="307">
        <f>N209+Q209+S209+U209+0.01</f>
        <v>1183.5624999999998</v>
      </c>
      <c r="X209" s="307">
        <f>F209*0.01*13</f>
        <v>77.61</v>
      </c>
      <c r="Y209" s="307">
        <f>X209/13</f>
        <v>5.97</v>
      </c>
      <c r="Z209" s="325"/>
      <c r="AA209" s="325"/>
      <c r="AB209" s="324"/>
      <c r="AC209" s="325"/>
      <c r="AD209" s="324"/>
      <c r="AE209" s="307"/>
      <c r="AF209" s="325"/>
      <c r="AG209" s="325"/>
      <c r="AH209" s="325"/>
      <c r="AI209" s="325"/>
      <c r="AJ209" s="324"/>
    </row>
    <row r="210" spans="1:36">
      <c r="A210" s="21"/>
      <c r="B210" s="138" t="s">
        <v>293</v>
      </c>
      <c r="C210" s="217"/>
      <c r="D210" s="313"/>
      <c r="E210" s="340"/>
      <c r="F210" s="319">
        <f>SUM(F205:F209)</f>
        <v>3898</v>
      </c>
      <c r="G210" s="319">
        <f t="shared" ref="G210:H210" si="163">SUM(G205:G209)</f>
        <v>46776</v>
      </c>
      <c r="H210" s="319">
        <f t="shared" si="163"/>
        <v>300</v>
      </c>
      <c r="I210" s="320">
        <f>SUM(I205:I209)</f>
        <v>0</v>
      </c>
      <c r="J210" s="319">
        <f>SUM(J205:J209)</f>
        <v>3898</v>
      </c>
      <c r="K210" s="319">
        <f t="shared" ref="K210:Y210" si="164">SUM(K205:K209)</f>
        <v>1500</v>
      </c>
      <c r="L210" s="319">
        <f t="shared" si="164"/>
        <v>0</v>
      </c>
      <c r="M210" s="319">
        <f t="shared" si="164"/>
        <v>375</v>
      </c>
      <c r="N210" s="319">
        <f>SUM(N205:N209)</f>
        <v>3927.2350000000001</v>
      </c>
      <c r="O210" s="319">
        <f t="shared" si="164"/>
        <v>111.13499999999999</v>
      </c>
      <c r="P210" s="319">
        <f t="shared" si="164"/>
        <v>190.95999999999998</v>
      </c>
      <c r="Q210" s="319">
        <f t="shared" si="164"/>
        <v>0</v>
      </c>
      <c r="R210" s="319">
        <f t="shared" si="164"/>
        <v>0</v>
      </c>
      <c r="S210" s="319">
        <f>SUM(S205:S209)+0.02</f>
        <v>3508.0699999999993</v>
      </c>
      <c r="T210" s="319">
        <f t="shared" si="164"/>
        <v>269.84999999999991</v>
      </c>
      <c r="U210" s="319">
        <f t="shared" si="164"/>
        <v>0</v>
      </c>
      <c r="V210" s="319">
        <f t="shared" si="164"/>
        <v>0</v>
      </c>
      <c r="W210" s="319">
        <f t="shared" si="164"/>
        <v>7435.3150000000005</v>
      </c>
      <c r="X210" s="319">
        <f t="shared" si="164"/>
        <v>467.74</v>
      </c>
      <c r="Y210" s="319">
        <f t="shared" si="164"/>
        <v>35.979999999999997</v>
      </c>
      <c r="Z210" s="312"/>
      <c r="AA210" s="312"/>
      <c r="AB210" s="312"/>
      <c r="AC210" s="312"/>
      <c r="AD210" s="312"/>
      <c r="AE210" s="312"/>
      <c r="AF210" s="312"/>
      <c r="AG210" s="312"/>
      <c r="AH210" s="312"/>
      <c r="AI210" s="312"/>
      <c r="AJ210" s="312"/>
    </row>
    <row r="211" spans="1:36">
      <c r="A211" s="21"/>
      <c r="B211" s="456" t="s">
        <v>641</v>
      </c>
      <c r="C211" s="457"/>
      <c r="D211" s="457"/>
      <c r="E211" s="458"/>
      <c r="F211" s="319">
        <f>SUM(F159+F180+F183+F186+F190+F204+F210)</f>
        <v>38659.14</v>
      </c>
      <c r="G211" s="319">
        <f t="shared" ref="G211:AJ211" si="165">SUM(G159+G180+G183+G186+G190+G204+G210)</f>
        <v>463909.68</v>
      </c>
      <c r="H211" s="319">
        <f t="shared" si="165"/>
        <v>3060</v>
      </c>
      <c r="I211" s="319">
        <f t="shared" si="165"/>
        <v>0</v>
      </c>
      <c r="J211" s="319">
        <f t="shared" si="165"/>
        <v>38659.14</v>
      </c>
      <c r="K211" s="319">
        <f t="shared" si="165"/>
        <v>15300</v>
      </c>
      <c r="L211" s="319">
        <f t="shared" si="165"/>
        <v>1000</v>
      </c>
      <c r="M211" s="319">
        <f t="shared" si="165"/>
        <v>3000</v>
      </c>
      <c r="N211" s="319">
        <f>SUM(N159+N180+N183+N186+N190+N204+N210)+0.02</f>
        <v>38949.123549999997</v>
      </c>
      <c r="O211" s="319">
        <f>SUM(O159+O180+O183+O186+O190+O204+O210)+0.01</f>
        <v>1387.90085</v>
      </c>
      <c r="P211" s="319">
        <f>SUM(P159+P180+P183+P186+P190+P204+P210)+0.01</f>
        <v>1608.2025000000001</v>
      </c>
      <c r="Q211" s="319">
        <f t="shared" si="165"/>
        <v>0</v>
      </c>
      <c r="R211" s="319">
        <f t="shared" si="165"/>
        <v>0</v>
      </c>
      <c r="S211" s="319">
        <f>SUM(S159+S180+S183+S186+S190+S204+S210)+0.01</f>
        <v>35614.121500000008</v>
      </c>
      <c r="T211" s="319">
        <f t="shared" si="165"/>
        <v>2739.6454999999996</v>
      </c>
      <c r="U211" s="319">
        <f t="shared" si="165"/>
        <v>0</v>
      </c>
      <c r="V211" s="319">
        <f t="shared" si="165"/>
        <v>0</v>
      </c>
      <c r="W211" s="319">
        <f t="shared" si="165"/>
        <v>74563.215049999999</v>
      </c>
      <c r="X211" s="319">
        <f t="shared" si="165"/>
        <v>4735.5181999999995</v>
      </c>
      <c r="Y211" s="319">
        <f t="shared" si="165"/>
        <v>364.28139999999996</v>
      </c>
      <c r="Z211" s="319">
        <f t="shared" si="165"/>
        <v>257.14285714285717</v>
      </c>
      <c r="AA211" s="319">
        <f t="shared" si="165"/>
        <v>19.928571428571431</v>
      </c>
      <c r="AB211" s="319">
        <f t="shared" si="165"/>
        <v>0</v>
      </c>
      <c r="AC211" s="319">
        <f t="shared" si="165"/>
        <v>19.285714285714288</v>
      </c>
      <c r="AD211" s="319">
        <f t="shared" si="165"/>
        <v>0</v>
      </c>
      <c r="AE211" s="319">
        <f t="shared" si="165"/>
        <v>39.22428571428572</v>
      </c>
      <c r="AF211" s="319">
        <f t="shared" si="165"/>
        <v>2.5714285714285716</v>
      </c>
      <c r="AG211" s="319">
        <f t="shared" si="165"/>
        <v>0</v>
      </c>
      <c r="AH211" s="319">
        <f t="shared" si="165"/>
        <v>0</v>
      </c>
      <c r="AI211" s="319">
        <f t="shared" si="165"/>
        <v>0</v>
      </c>
      <c r="AJ211" s="319">
        <f t="shared" si="165"/>
        <v>0</v>
      </c>
    </row>
    <row r="212" spans="1:36" ht="26.25" customHeight="1">
      <c r="A212" s="55">
        <f>A209+1</f>
        <v>163</v>
      </c>
      <c r="B212" s="377" t="s">
        <v>750</v>
      </c>
      <c r="C212" s="370" t="s">
        <v>663</v>
      </c>
      <c r="D212" s="313" t="s">
        <v>759</v>
      </c>
      <c r="E212" s="314" t="s">
        <v>306</v>
      </c>
      <c r="F212" s="315">
        <v>1000</v>
      </c>
      <c r="G212" s="316">
        <f t="shared" ref="G212:G214" si="166">F212*12</f>
        <v>12000</v>
      </c>
      <c r="H212" s="316">
        <v>60</v>
      </c>
      <c r="I212" s="323"/>
      <c r="J212" s="316">
        <f t="shared" ref="J212:J214" si="167">F212</f>
        <v>1000</v>
      </c>
      <c r="K212" s="316">
        <v>300</v>
      </c>
      <c r="L212" s="324"/>
      <c r="M212" s="307"/>
      <c r="N212" s="307">
        <f>F212*0.0775*13</f>
        <v>1007.5</v>
      </c>
      <c r="O212" s="307">
        <f>N212/13</f>
        <v>77.5</v>
      </c>
      <c r="P212" s="307"/>
      <c r="Q212" s="307"/>
      <c r="R212" s="307"/>
      <c r="S212" s="307">
        <f>F212*0.075*13</f>
        <v>975</v>
      </c>
      <c r="T212" s="307">
        <f>S212/13</f>
        <v>75</v>
      </c>
      <c r="U212" s="307"/>
      <c r="V212" s="307"/>
      <c r="W212" s="307">
        <f>N212+Q212+S212+U212</f>
        <v>1982.5</v>
      </c>
      <c r="X212" s="307">
        <f>F212*0.01*13</f>
        <v>130</v>
      </c>
      <c r="Y212" s="307">
        <f>X212/13</f>
        <v>10</v>
      </c>
      <c r="Z212" s="325"/>
      <c r="AA212" s="325"/>
      <c r="AB212" s="324"/>
      <c r="AC212" s="307"/>
      <c r="AD212" s="324"/>
      <c r="AE212" s="307"/>
      <c r="AF212" s="325"/>
      <c r="AG212" s="325"/>
      <c r="AH212" s="325"/>
      <c r="AI212" s="325"/>
      <c r="AJ212" s="324"/>
    </row>
    <row r="213" spans="1:36" ht="27.75" customHeight="1">
      <c r="A213" s="21">
        <f>A212+1</f>
        <v>164</v>
      </c>
      <c r="B213" s="371" t="s">
        <v>110</v>
      </c>
      <c r="C213" s="370" t="s">
        <v>663</v>
      </c>
      <c r="D213" s="313" t="s">
        <v>762</v>
      </c>
      <c r="E213" s="314" t="s">
        <v>306</v>
      </c>
      <c r="F213" s="315">
        <v>500</v>
      </c>
      <c r="G213" s="316">
        <f t="shared" si="166"/>
        <v>6000</v>
      </c>
      <c r="H213" s="316">
        <v>60</v>
      </c>
      <c r="I213" s="323"/>
      <c r="J213" s="316">
        <f t="shared" si="167"/>
        <v>500</v>
      </c>
      <c r="K213" s="316">
        <v>300</v>
      </c>
      <c r="L213" s="324"/>
      <c r="M213" s="307"/>
      <c r="N213" s="307">
        <f>F213*0.0775*13</f>
        <v>503.75</v>
      </c>
      <c r="O213" s="307">
        <f>N213/13</f>
        <v>38.75</v>
      </c>
      <c r="P213" s="307"/>
      <c r="Q213" s="307"/>
      <c r="R213" s="307"/>
      <c r="S213" s="307">
        <f>F213*0.075*13</f>
        <v>487.5</v>
      </c>
      <c r="T213" s="307">
        <f>S213/13</f>
        <v>37.5</v>
      </c>
      <c r="U213" s="307"/>
      <c r="V213" s="307"/>
      <c r="W213" s="307">
        <f>N213+Q213+S213+U213</f>
        <v>991.25</v>
      </c>
      <c r="X213" s="307">
        <f>F213*0.01*13</f>
        <v>65</v>
      </c>
      <c r="Y213" s="307">
        <f>X213/13</f>
        <v>5</v>
      </c>
      <c r="Z213" s="307"/>
      <c r="AA213" s="307"/>
      <c r="AB213" s="307"/>
      <c r="AC213" s="307"/>
      <c r="AD213" s="307"/>
      <c r="AE213" s="307"/>
      <c r="AF213" s="307"/>
      <c r="AG213" s="325"/>
      <c r="AH213" s="325"/>
      <c r="AI213" s="324"/>
      <c r="AJ213" s="324"/>
    </row>
    <row r="214" spans="1:36" ht="30.75" customHeight="1">
      <c r="A214" s="21">
        <f t="shared" ref="A214" si="168">A213+1</f>
        <v>165</v>
      </c>
      <c r="B214" s="372" t="s">
        <v>737</v>
      </c>
      <c r="C214" s="370" t="s">
        <v>663</v>
      </c>
      <c r="D214" s="313" t="s">
        <v>762</v>
      </c>
      <c r="E214" s="314" t="s">
        <v>306</v>
      </c>
      <c r="F214" s="315">
        <v>500</v>
      </c>
      <c r="G214" s="316">
        <f t="shared" si="166"/>
        <v>6000</v>
      </c>
      <c r="H214" s="316">
        <v>60</v>
      </c>
      <c r="I214" s="323"/>
      <c r="J214" s="316">
        <f t="shared" si="167"/>
        <v>500</v>
      </c>
      <c r="K214" s="316">
        <v>300</v>
      </c>
      <c r="L214" s="324"/>
      <c r="M214" s="307"/>
      <c r="N214" s="307">
        <f>F214*0.0775*13</f>
        <v>503.75</v>
      </c>
      <c r="O214" s="307">
        <f>N214/13</f>
        <v>38.75</v>
      </c>
      <c r="P214" s="307"/>
      <c r="Q214" s="307"/>
      <c r="R214" s="307"/>
      <c r="S214" s="307">
        <f>F214*0.075*13</f>
        <v>487.5</v>
      </c>
      <c r="T214" s="307">
        <f>S214/13</f>
        <v>37.5</v>
      </c>
      <c r="U214" s="307"/>
      <c r="V214" s="307"/>
      <c r="W214" s="307">
        <f>N214+Q214+S214+U214</f>
        <v>991.25</v>
      </c>
      <c r="X214" s="307">
        <f>F214*0.01*13</f>
        <v>65</v>
      </c>
      <c r="Y214" s="307">
        <f>X214/13</f>
        <v>5</v>
      </c>
      <c r="Z214" s="307"/>
      <c r="AA214" s="307"/>
      <c r="AB214" s="307"/>
      <c r="AC214" s="307"/>
      <c r="AD214" s="307"/>
      <c r="AE214" s="307"/>
      <c r="AF214" s="307"/>
      <c r="AG214" s="325"/>
      <c r="AH214" s="325"/>
      <c r="AI214" s="324"/>
      <c r="AJ214" s="324"/>
    </row>
    <row r="215" spans="1:36">
      <c r="A215" s="21"/>
      <c r="B215" s="203" t="s">
        <v>664</v>
      </c>
      <c r="C215" s="107"/>
      <c r="D215" s="313"/>
      <c r="E215" s="314"/>
      <c r="F215" s="319">
        <f>SUM(F212:F214)</f>
        <v>2000</v>
      </c>
      <c r="G215" s="320">
        <f>SUM(G212:G214)</f>
        <v>24000</v>
      </c>
      <c r="H215" s="320">
        <f>SUM(H212:H214)</f>
        <v>180</v>
      </c>
      <c r="I215" s="320">
        <f>SUM(I212:I213)</f>
        <v>0</v>
      </c>
      <c r="J215" s="320">
        <f>SUM(J212:J214)</f>
        <v>2000</v>
      </c>
      <c r="K215" s="320">
        <f>SUM(K212:K214)</f>
        <v>900</v>
      </c>
      <c r="L215" s="312">
        <f>SUM(L212:L213)</f>
        <v>0</v>
      </c>
      <c r="M215" s="312">
        <f>SUM(M212:M214)</f>
        <v>0</v>
      </c>
      <c r="N215" s="312">
        <f>SUM(N212:N214)</f>
        <v>2015</v>
      </c>
      <c r="O215" s="312">
        <f>SUM(O212:O214)</f>
        <v>155</v>
      </c>
      <c r="P215" s="312">
        <f>SUM(P212:P213)</f>
        <v>0</v>
      </c>
      <c r="Q215" s="312">
        <f>SUM(Q212:Q214)</f>
        <v>0</v>
      </c>
      <c r="R215" s="312">
        <f>SUM(R212:R214)</f>
        <v>0</v>
      </c>
      <c r="S215" s="312">
        <f>SUM(S212:S214)</f>
        <v>1950</v>
      </c>
      <c r="T215" s="312">
        <f>SUM(T212:T214)+0.02</f>
        <v>150.02000000000001</v>
      </c>
      <c r="U215" s="312">
        <f>SUM(U212:U214)</f>
        <v>0</v>
      </c>
      <c r="V215" s="312">
        <f>SUM(V212:V214)</f>
        <v>0</v>
      </c>
      <c r="W215" s="312">
        <f>SUM(W212:W214)</f>
        <v>3965</v>
      </c>
      <c r="X215" s="312">
        <f>SUM(X212:X214)</f>
        <v>260</v>
      </c>
      <c r="Y215" s="312">
        <f>SUM(Y212:Y214)</f>
        <v>20</v>
      </c>
      <c r="Z215" s="312"/>
      <c r="AA215" s="312"/>
      <c r="AB215" s="312"/>
      <c r="AC215" s="312"/>
      <c r="AD215" s="312"/>
      <c r="AE215" s="312"/>
      <c r="AF215" s="312"/>
      <c r="AG215" s="312"/>
      <c r="AH215" s="312"/>
      <c r="AI215" s="312"/>
      <c r="AJ215" s="312"/>
    </row>
    <row r="216" spans="1:36" ht="19.5">
      <c r="A216" s="55">
        <f>A214+1</f>
        <v>166</v>
      </c>
      <c r="B216" s="206" t="s">
        <v>354</v>
      </c>
      <c r="C216" s="107" t="s">
        <v>355</v>
      </c>
      <c r="D216" s="313" t="s">
        <v>79</v>
      </c>
      <c r="E216" s="331" t="s">
        <v>306</v>
      </c>
      <c r="F216" s="315">
        <v>1000</v>
      </c>
      <c r="G216" s="316">
        <f t="shared" ref="G216:G236" si="169">F216*12</f>
        <v>12000</v>
      </c>
      <c r="H216" s="316">
        <v>60</v>
      </c>
      <c r="I216" s="316"/>
      <c r="J216" s="316">
        <f t="shared" ref="J216:J232" si="170">F216</f>
        <v>1000</v>
      </c>
      <c r="K216" s="316">
        <v>300</v>
      </c>
      <c r="L216" s="307"/>
      <c r="M216" s="307"/>
      <c r="N216" s="307">
        <f t="shared" ref="N216:N223" si="171">F216*0.0775*13</f>
        <v>1007.5</v>
      </c>
      <c r="O216" s="307"/>
      <c r="P216" s="307">
        <f>N216/13</f>
        <v>77.5</v>
      </c>
      <c r="Q216" s="307"/>
      <c r="R216" s="307"/>
      <c r="S216" s="307">
        <f t="shared" ref="S216:S236" si="172">F216*0.075*13</f>
        <v>975</v>
      </c>
      <c r="T216" s="307">
        <f>S216/13</f>
        <v>75</v>
      </c>
      <c r="U216" s="307"/>
      <c r="V216" s="307"/>
      <c r="W216" s="307">
        <f>N216+Q216+S216+U216</f>
        <v>1982.5</v>
      </c>
      <c r="X216" s="307">
        <f t="shared" ref="X216:X236" si="173">F216*0.01*13</f>
        <v>130</v>
      </c>
      <c r="Y216" s="307">
        <f>X216/13</f>
        <v>10</v>
      </c>
      <c r="Z216" s="307"/>
      <c r="AA216" s="307"/>
      <c r="AB216" s="307"/>
      <c r="AC216" s="307"/>
      <c r="AD216" s="307"/>
      <c r="AE216" s="307"/>
      <c r="AF216" s="307"/>
      <c r="AG216" s="307"/>
      <c r="AH216" s="307"/>
      <c r="AI216" s="307"/>
      <c r="AJ216" s="307"/>
    </row>
    <row r="217" spans="1:36" ht="19.5">
      <c r="A217" s="21">
        <f>A216+1</f>
        <v>167</v>
      </c>
      <c r="B217" s="339" t="s">
        <v>794</v>
      </c>
      <c r="C217" s="107" t="s">
        <v>355</v>
      </c>
      <c r="D217" s="313" t="s">
        <v>762</v>
      </c>
      <c r="E217" s="331" t="s">
        <v>306</v>
      </c>
      <c r="F217" s="315">
        <v>800</v>
      </c>
      <c r="G217" s="316">
        <f t="shared" si="169"/>
        <v>9600</v>
      </c>
      <c r="H217" s="316">
        <v>60</v>
      </c>
      <c r="I217" s="316"/>
      <c r="J217" s="316">
        <f t="shared" si="170"/>
        <v>800</v>
      </c>
      <c r="K217" s="316">
        <v>300</v>
      </c>
      <c r="L217" s="307"/>
      <c r="M217" s="307"/>
      <c r="N217" s="307">
        <f t="shared" si="171"/>
        <v>806</v>
      </c>
      <c r="O217" s="307"/>
      <c r="P217" s="307">
        <f>N217/13</f>
        <v>62</v>
      </c>
      <c r="Q217" s="307"/>
      <c r="R217" s="307"/>
      <c r="S217" s="307">
        <f t="shared" si="172"/>
        <v>780</v>
      </c>
      <c r="T217" s="307">
        <f>S217/13</f>
        <v>60</v>
      </c>
      <c r="U217" s="307"/>
      <c r="V217" s="307"/>
      <c r="W217" s="307">
        <f>N217+Q217+S217+U217</f>
        <v>1586</v>
      </c>
      <c r="X217" s="307">
        <f t="shared" si="173"/>
        <v>104</v>
      </c>
      <c r="Y217" s="307">
        <f>X217/13</f>
        <v>8</v>
      </c>
      <c r="Z217" s="307"/>
      <c r="AA217" s="307"/>
      <c r="AB217" s="307"/>
      <c r="AC217" s="307"/>
      <c r="AD217" s="307"/>
      <c r="AE217" s="307"/>
      <c r="AF217" s="307"/>
      <c r="AG217" s="307"/>
      <c r="AH217" s="307"/>
      <c r="AI217" s="307"/>
      <c r="AJ217" s="307"/>
    </row>
    <row r="218" spans="1:36" ht="19.5">
      <c r="A218" s="21">
        <f t="shared" ref="A218:A236" si="174">A217+1</f>
        <v>168</v>
      </c>
      <c r="B218" s="341" t="s">
        <v>358</v>
      </c>
      <c r="C218" s="107" t="s">
        <v>355</v>
      </c>
      <c r="D218" s="313" t="s">
        <v>759</v>
      </c>
      <c r="E218" s="331" t="s">
        <v>306</v>
      </c>
      <c r="F218" s="315">
        <v>417</v>
      </c>
      <c r="G218" s="316">
        <f>F218*12</f>
        <v>5004</v>
      </c>
      <c r="H218" s="316">
        <v>60</v>
      </c>
      <c r="I218" s="323"/>
      <c r="J218" s="316">
        <f t="shared" si="170"/>
        <v>417</v>
      </c>
      <c r="K218" s="316">
        <v>300</v>
      </c>
      <c r="L218" s="324"/>
      <c r="M218" s="307"/>
      <c r="N218" s="307">
        <f t="shared" si="171"/>
        <v>420.12750000000005</v>
      </c>
      <c r="O218" s="307">
        <f>N218/13</f>
        <v>32.317500000000003</v>
      </c>
      <c r="P218" s="307"/>
      <c r="Q218" s="324"/>
      <c r="R218" s="324"/>
      <c r="S218" s="307">
        <f t="shared" si="172"/>
        <v>406.57499999999999</v>
      </c>
      <c r="T218" s="307">
        <f>S218/13</f>
        <v>31.274999999999999</v>
      </c>
      <c r="U218" s="324"/>
      <c r="V218" s="324"/>
      <c r="W218" s="307">
        <f>N218+Q218+S218+U218+0.01</f>
        <v>826.71250000000009</v>
      </c>
      <c r="X218" s="307">
        <f t="shared" si="173"/>
        <v>54.21</v>
      </c>
      <c r="Y218" s="307">
        <f>X218/13</f>
        <v>4.17</v>
      </c>
      <c r="Z218" s="325"/>
      <c r="AA218" s="325"/>
      <c r="AB218" s="324"/>
      <c r="AC218" s="325"/>
      <c r="AD218" s="324"/>
      <c r="AE218" s="307"/>
      <c r="AF218" s="325"/>
      <c r="AG218" s="325"/>
      <c r="AH218" s="325"/>
      <c r="AI218" s="325"/>
      <c r="AJ218" s="324"/>
    </row>
    <row r="219" spans="1:36" ht="19.5">
      <c r="A219" s="21">
        <f t="shared" si="174"/>
        <v>169</v>
      </c>
      <c r="B219" s="147" t="s">
        <v>360</v>
      </c>
      <c r="C219" s="107" t="s">
        <v>355</v>
      </c>
      <c r="D219" s="313" t="s">
        <v>79</v>
      </c>
      <c r="E219" s="331" t="s">
        <v>306</v>
      </c>
      <c r="F219" s="315">
        <f>417+50+50</f>
        <v>517</v>
      </c>
      <c r="G219" s="316">
        <f t="shared" si="169"/>
        <v>6204</v>
      </c>
      <c r="H219" s="316">
        <v>60</v>
      </c>
      <c r="I219" s="323"/>
      <c r="J219" s="316">
        <f t="shared" si="170"/>
        <v>517</v>
      </c>
      <c r="K219" s="316">
        <v>300</v>
      </c>
      <c r="L219" s="324"/>
      <c r="M219" s="307">
        <v>125</v>
      </c>
      <c r="N219" s="307">
        <f t="shared" si="171"/>
        <v>520.87750000000005</v>
      </c>
      <c r="O219" s="321"/>
      <c r="P219" s="307">
        <f>N219/13</f>
        <v>40.067500000000003</v>
      </c>
      <c r="Q219" s="307"/>
      <c r="R219" s="307"/>
      <c r="S219" s="307">
        <f t="shared" si="172"/>
        <v>504.07499999999999</v>
      </c>
      <c r="T219" s="307">
        <f t="shared" ref="T219:T236" si="175">S219/13</f>
        <v>38.774999999999999</v>
      </c>
      <c r="U219" s="307"/>
      <c r="V219" s="307"/>
      <c r="W219" s="307">
        <f>N219+Q219+S219+U219</f>
        <v>1024.9525000000001</v>
      </c>
      <c r="X219" s="307">
        <f t="shared" si="173"/>
        <v>67.209999999999994</v>
      </c>
      <c r="Y219" s="307">
        <f t="shared" ref="Y219:Y236" si="176">X219/13</f>
        <v>5.17</v>
      </c>
      <c r="Z219" s="325"/>
      <c r="AA219" s="325"/>
      <c r="AB219" s="324"/>
      <c r="AC219" s="325"/>
      <c r="AD219" s="324"/>
      <c r="AE219" s="307"/>
      <c r="AF219" s="325"/>
      <c r="AG219" s="325"/>
      <c r="AH219" s="325"/>
      <c r="AI219" s="325"/>
      <c r="AJ219" s="324"/>
    </row>
    <row r="220" spans="1:36" ht="19.5">
      <c r="A220" s="21">
        <f t="shared" si="174"/>
        <v>170</v>
      </c>
      <c r="B220" s="164" t="s">
        <v>795</v>
      </c>
      <c r="C220" s="107" t="s">
        <v>355</v>
      </c>
      <c r="D220" s="313" t="s">
        <v>759</v>
      </c>
      <c r="E220" s="331" t="s">
        <v>306</v>
      </c>
      <c r="F220" s="315">
        <v>500</v>
      </c>
      <c r="G220" s="316">
        <f t="shared" si="169"/>
        <v>6000</v>
      </c>
      <c r="H220" s="316">
        <v>60</v>
      </c>
      <c r="I220" s="316"/>
      <c r="J220" s="316">
        <f t="shared" si="170"/>
        <v>500</v>
      </c>
      <c r="K220" s="316">
        <v>300</v>
      </c>
      <c r="L220" s="307"/>
      <c r="M220" s="307"/>
      <c r="N220" s="307">
        <f t="shared" si="171"/>
        <v>503.75</v>
      </c>
      <c r="O220" s="315">
        <f>N220/13</f>
        <v>38.75</v>
      </c>
      <c r="P220" s="307"/>
      <c r="Q220" s="307"/>
      <c r="R220" s="307"/>
      <c r="S220" s="307">
        <f t="shared" si="172"/>
        <v>487.5</v>
      </c>
      <c r="T220" s="307">
        <f t="shared" si="175"/>
        <v>37.5</v>
      </c>
      <c r="U220" s="307"/>
      <c r="V220" s="307"/>
      <c r="W220" s="307">
        <f>N220+Q220+S220+U220</f>
        <v>991.25</v>
      </c>
      <c r="X220" s="307">
        <f t="shared" si="173"/>
        <v>65</v>
      </c>
      <c r="Y220" s="307">
        <f t="shared" si="176"/>
        <v>5</v>
      </c>
      <c r="Z220" s="307"/>
      <c r="AA220" s="307"/>
      <c r="AB220" s="307"/>
      <c r="AC220" s="307"/>
      <c r="AD220" s="307"/>
      <c r="AE220" s="307"/>
      <c r="AF220" s="307"/>
      <c r="AG220" s="307"/>
      <c r="AH220" s="307"/>
      <c r="AI220" s="307"/>
      <c r="AJ220" s="307"/>
    </row>
    <row r="221" spans="1:36" ht="19.5">
      <c r="A221" s="21">
        <f t="shared" si="174"/>
        <v>171</v>
      </c>
      <c r="B221" s="165" t="s">
        <v>364</v>
      </c>
      <c r="C221" s="107" t="s">
        <v>355</v>
      </c>
      <c r="D221" s="313" t="s">
        <v>759</v>
      </c>
      <c r="E221" s="331" t="s">
        <v>306</v>
      </c>
      <c r="F221" s="315">
        <v>650</v>
      </c>
      <c r="G221" s="316">
        <f t="shared" si="169"/>
        <v>7800</v>
      </c>
      <c r="H221" s="316">
        <v>60</v>
      </c>
      <c r="I221" s="316"/>
      <c r="J221" s="316">
        <f t="shared" si="170"/>
        <v>650</v>
      </c>
      <c r="K221" s="316">
        <v>300</v>
      </c>
      <c r="L221" s="307"/>
      <c r="M221" s="307"/>
      <c r="N221" s="307">
        <f t="shared" si="171"/>
        <v>654.875</v>
      </c>
      <c r="O221" s="315"/>
      <c r="P221" s="307">
        <f>N221/13</f>
        <v>50.375</v>
      </c>
      <c r="Q221" s="307"/>
      <c r="R221" s="307"/>
      <c r="S221" s="307">
        <f t="shared" si="172"/>
        <v>633.75</v>
      </c>
      <c r="T221" s="307">
        <f t="shared" si="175"/>
        <v>48.75</v>
      </c>
      <c r="U221" s="307"/>
      <c r="V221" s="307"/>
      <c r="W221" s="307">
        <f t="shared" ref="W221:W232" si="177">N221+Q221+S221+U221</f>
        <v>1288.625</v>
      </c>
      <c r="X221" s="307">
        <f t="shared" si="173"/>
        <v>84.5</v>
      </c>
      <c r="Y221" s="307">
        <f t="shared" si="176"/>
        <v>6.5</v>
      </c>
      <c r="Z221" s="307"/>
      <c r="AA221" s="307"/>
      <c r="AB221" s="307"/>
      <c r="AC221" s="307"/>
      <c r="AD221" s="307"/>
      <c r="AE221" s="307"/>
      <c r="AF221" s="307"/>
      <c r="AG221" s="307"/>
      <c r="AH221" s="307"/>
      <c r="AI221" s="307"/>
      <c r="AJ221" s="307"/>
    </row>
    <row r="222" spans="1:36" ht="19.5">
      <c r="A222" s="21">
        <f t="shared" si="174"/>
        <v>172</v>
      </c>
      <c r="B222" s="164" t="s">
        <v>738</v>
      </c>
      <c r="C222" s="107" t="s">
        <v>355</v>
      </c>
      <c r="D222" s="313" t="s">
        <v>759</v>
      </c>
      <c r="E222" s="331" t="s">
        <v>306</v>
      </c>
      <c r="F222" s="315">
        <v>500</v>
      </c>
      <c r="G222" s="316">
        <f t="shared" ref="G222" si="178">F222*12</f>
        <v>6000</v>
      </c>
      <c r="H222" s="316">
        <v>60</v>
      </c>
      <c r="I222" s="316"/>
      <c r="J222" s="316">
        <f t="shared" ref="J222" si="179">F222</f>
        <v>500</v>
      </c>
      <c r="K222" s="316">
        <v>300</v>
      </c>
      <c r="L222" s="307"/>
      <c r="M222" s="307"/>
      <c r="N222" s="307">
        <f t="shared" si="171"/>
        <v>503.75</v>
      </c>
      <c r="O222" s="315"/>
      <c r="P222" s="307">
        <f>N222/13</f>
        <v>38.75</v>
      </c>
      <c r="Q222" s="307"/>
      <c r="R222" s="307"/>
      <c r="S222" s="307">
        <f t="shared" si="172"/>
        <v>487.5</v>
      </c>
      <c r="T222" s="307">
        <f t="shared" ref="T222" si="180">S222/13</f>
        <v>37.5</v>
      </c>
      <c r="U222" s="307"/>
      <c r="V222" s="307"/>
      <c r="W222" s="307">
        <f t="shared" ref="W222" si="181">N222+Q222+S222+U222</f>
        <v>991.25</v>
      </c>
      <c r="X222" s="307">
        <f t="shared" si="173"/>
        <v>65</v>
      </c>
      <c r="Y222" s="307">
        <f t="shared" ref="Y222" si="182">X222/13</f>
        <v>5</v>
      </c>
      <c r="Z222" s="307"/>
      <c r="AA222" s="307"/>
      <c r="AB222" s="307"/>
      <c r="AC222" s="307"/>
      <c r="AD222" s="307"/>
      <c r="AE222" s="307"/>
      <c r="AF222" s="307"/>
      <c r="AG222" s="307"/>
      <c r="AH222" s="307"/>
      <c r="AI222" s="307"/>
      <c r="AJ222" s="307"/>
    </row>
    <row r="223" spans="1:36" ht="19.5">
      <c r="A223" s="21">
        <f t="shared" si="174"/>
        <v>173</v>
      </c>
      <c r="B223" s="339" t="s">
        <v>738</v>
      </c>
      <c r="C223" s="107" t="s">
        <v>355</v>
      </c>
      <c r="D223" s="313" t="s">
        <v>762</v>
      </c>
      <c r="E223" s="331" t="s">
        <v>306</v>
      </c>
      <c r="F223" s="315">
        <v>417</v>
      </c>
      <c r="G223" s="316">
        <f t="shared" ref="G223" si="183">F223*12</f>
        <v>5004</v>
      </c>
      <c r="H223" s="316">
        <v>60</v>
      </c>
      <c r="I223" s="316"/>
      <c r="J223" s="316">
        <f t="shared" ref="J223" si="184">F223</f>
        <v>417</v>
      </c>
      <c r="K223" s="316">
        <v>300</v>
      </c>
      <c r="L223" s="307"/>
      <c r="M223" s="307"/>
      <c r="N223" s="307">
        <f t="shared" si="171"/>
        <v>420.12750000000005</v>
      </c>
      <c r="O223" s="315"/>
      <c r="P223" s="307">
        <f>N223/13</f>
        <v>32.317500000000003</v>
      </c>
      <c r="Q223" s="307"/>
      <c r="R223" s="307"/>
      <c r="S223" s="307">
        <f t="shared" si="172"/>
        <v>406.57499999999999</v>
      </c>
      <c r="T223" s="307">
        <f t="shared" ref="T223" si="185">S223/13</f>
        <v>31.274999999999999</v>
      </c>
      <c r="U223" s="307"/>
      <c r="V223" s="307"/>
      <c r="W223" s="307">
        <f>N223+Q223+S223+U223+0.01</f>
        <v>826.71250000000009</v>
      </c>
      <c r="X223" s="307">
        <f t="shared" si="173"/>
        <v>54.21</v>
      </c>
      <c r="Y223" s="307">
        <f t="shared" ref="Y223" si="186">X223/13</f>
        <v>4.17</v>
      </c>
      <c r="Z223" s="307"/>
      <c r="AA223" s="307"/>
      <c r="AB223" s="307"/>
      <c r="AC223" s="307"/>
      <c r="AD223" s="307"/>
      <c r="AE223" s="307"/>
      <c r="AF223" s="307"/>
      <c r="AG223" s="307"/>
      <c r="AH223" s="307"/>
      <c r="AI223" s="307"/>
      <c r="AJ223" s="307"/>
    </row>
    <row r="224" spans="1:36" ht="19.5">
      <c r="A224" s="21">
        <f t="shared" si="174"/>
        <v>174</v>
      </c>
      <c r="B224" s="147" t="s">
        <v>691</v>
      </c>
      <c r="C224" s="107" t="s">
        <v>355</v>
      </c>
      <c r="D224" s="313" t="s">
        <v>79</v>
      </c>
      <c r="E224" s="331" t="s">
        <v>306</v>
      </c>
      <c r="F224" s="315">
        <f>567+30+50+50</f>
        <v>697</v>
      </c>
      <c r="G224" s="316">
        <f t="shared" si="169"/>
        <v>8364</v>
      </c>
      <c r="H224" s="316">
        <v>60</v>
      </c>
      <c r="I224" s="323"/>
      <c r="J224" s="316">
        <f t="shared" si="170"/>
        <v>697</v>
      </c>
      <c r="K224" s="316">
        <v>300</v>
      </c>
      <c r="L224" s="324"/>
      <c r="M224" s="307">
        <v>125</v>
      </c>
      <c r="N224" s="307"/>
      <c r="O224" s="307"/>
      <c r="P224" s="307"/>
      <c r="Q224" s="324"/>
      <c r="R224" s="324"/>
      <c r="S224" s="307">
        <f t="shared" si="172"/>
        <v>679.57499999999993</v>
      </c>
      <c r="T224" s="307">
        <f t="shared" si="175"/>
        <v>52.274999999999991</v>
      </c>
      <c r="U224" s="307">
        <f>F224*0.06*13</f>
        <v>543.66</v>
      </c>
      <c r="V224" s="307">
        <v>34.020000000000003</v>
      </c>
      <c r="W224" s="307">
        <f t="shared" si="177"/>
        <v>1223.2349999999999</v>
      </c>
      <c r="X224" s="307">
        <f t="shared" si="173"/>
        <v>90.61</v>
      </c>
      <c r="Y224" s="307">
        <f t="shared" si="176"/>
        <v>6.97</v>
      </c>
      <c r="Z224" s="325"/>
      <c r="AA224" s="325"/>
      <c r="AB224" s="324"/>
      <c r="AC224" s="325"/>
      <c r="AD224" s="324"/>
      <c r="AE224" s="307"/>
      <c r="AF224" s="325"/>
      <c r="AG224" s="325"/>
      <c r="AH224" s="325"/>
      <c r="AI224" s="325"/>
      <c r="AJ224" s="324"/>
    </row>
    <row r="225" spans="1:36" ht="19.5">
      <c r="A225" s="21">
        <f t="shared" si="174"/>
        <v>175</v>
      </c>
      <c r="B225" s="147" t="s">
        <v>691</v>
      </c>
      <c r="C225" s="107" t="s">
        <v>355</v>
      </c>
      <c r="D225" s="313" t="s">
        <v>79</v>
      </c>
      <c r="E225" s="331" t="s">
        <v>306</v>
      </c>
      <c r="F225" s="315">
        <f>467+30+50+50</f>
        <v>597</v>
      </c>
      <c r="G225" s="316">
        <f t="shared" ref="G225:G231" si="187">F225*12</f>
        <v>7164</v>
      </c>
      <c r="H225" s="316">
        <v>60</v>
      </c>
      <c r="I225" s="323"/>
      <c r="J225" s="316">
        <f t="shared" si="170"/>
        <v>597</v>
      </c>
      <c r="K225" s="316">
        <v>300</v>
      </c>
      <c r="L225" s="324"/>
      <c r="M225" s="307">
        <v>125</v>
      </c>
      <c r="N225" s="307">
        <f t="shared" ref="N225:N236" si="188">F225*0.0775*13</f>
        <v>601.47749999999996</v>
      </c>
      <c r="O225" s="307">
        <f>N225/13</f>
        <v>46.267499999999998</v>
      </c>
      <c r="P225" s="321"/>
      <c r="Q225" s="307"/>
      <c r="R225" s="307"/>
      <c r="S225" s="307">
        <f t="shared" si="172"/>
        <v>582.07499999999993</v>
      </c>
      <c r="T225" s="307">
        <f t="shared" si="175"/>
        <v>44.774999999999991</v>
      </c>
      <c r="U225" s="307"/>
      <c r="V225" s="307"/>
      <c r="W225" s="307">
        <f t="shared" si="177"/>
        <v>1183.5524999999998</v>
      </c>
      <c r="X225" s="307">
        <f t="shared" si="173"/>
        <v>77.61</v>
      </c>
      <c r="Y225" s="307">
        <f t="shared" si="176"/>
        <v>5.97</v>
      </c>
      <c r="Z225" s="325"/>
      <c r="AA225" s="325"/>
      <c r="AB225" s="324"/>
      <c r="AC225" s="325"/>
      <c r="AD225" s="324"/>
      <c r="AE225" s="307"/>
      <c r="AF225" s="325"/>
      <c r="AG225" s="325"/>
      <c r="AH225" s="325"/>
      <c r="AI225" s="325"/>
      <c r="AJ225" s="324"/>
    </row>
    <row r="226" spans="1:36" ht="19.5">
      <c r="A226" s="21">
        <f t="shared" si="174"/>
        <v>176</v>
      </c>
      <c r="B226" s="147" t="s">
        <v>691</v>
      </c>
      <c r="C226" s="107" t="s">
        <v>355</v>
      </c>
      <c r="D226" s="313" t="s">
        <v>79</v>
      </c>
      <c r="E226" s="331" t="s">
        <v>306</v>
      </c>
      <c r="F226" s="315">
        <f>467+30+50+50</f>
        <v>597</v>
      </c>
      <c r="G226" s="316">
        <f t="shared" si="187"/>
        <v>7164</v>
      </c>
      <c r="H226" s="316">
        <v>60</v>
      </c>
      <c r="I226" s="323"/>
      <c r="J226" s="316">
        <f t="shared" si="170"/>
        <v>597</v>
      </c>
      <c r="K226" s="316">
        <v>300</v>
      </c>
      <c r="L226" s="324"/>
      <c r="M226" s="307">
        <v>125</v>
      </c>
      <c r="N226" s="307">
        <f t="shared" si="188"/>
        <v>601.47749999999996</v>
      </c>
      <c r="O226" s="321"/>
      <c r="P226" s="307">
        <f>N226/13</f>
        <v>46.267499999999998</v>
      </c>
      <c r="Q226" s="307"/>
      <c r="R226" s="307"/>
      <c r="S226" s="307">
        <f t="shared" si="172"/>
        <v>582.07499999999993</v>
      </c>
      <c r="T226" s="307">
        <f t="shared" si="175"/>
        <v>44.774999999999991</v>
      </c>
      <c r="U226" s="307"/>
      <c r="V226" s="307"/>
      <c r="W226" s="307">
        <f t="shared" si="177"/>
        <v>1183.5524999999998</v>
      </c>
      <c r="X226" s="307">
        <f t="shared" si="173"/>
        <v>77.61</v>
      </c>
      <c r="Y226" s="307">
        <f t="shared" si="176"/>
        <v>5.97</v>
      </c>
      <c r="Z226" s="325"/>
      <c r="AA226" s="325"/>
      <c r="AB226" s="324"/>
      <c r="AC226" s="325"/>
      <c r="AD226" s="324"/>
      <c r="AE226" s="307"/>
      <c r="AF226" s="325"/>
      <c r="AG226" s="325"/>
      <c r="AH226" s="325"/>
      <c r="AI226" s="325"/>
      <c r="AJ226" s="324"/>
    </row>
    <row r="227" spans="1:36" ht="19.5">
      <c r="A227" s="21">
        <f t="shared" si="174"/>
        <v>177</v>
      </c>
      <c r="B227" s="147" t="s">
        <v>691</v>
      </c>
      <c r="C227" s="107" t="s">
        <v>355</v>
      </c>
      <c r="D227" s="313" t="s">
        <v>79</v>
      </c>
      <c r="E227" s="331" t="s">
        <v>306</v>
      </c>
      <c r="F227" s="315">
        <f>467+30+50+50</f>
        <v>597</v>
      </c>
      <c r="G227" s="316">
        <f t="shared" si="187"/>
        <v>7164</v>
      </c>
      <c r="H227" s="316">
        <v>60</v>
      </c>
      <c r="I227" s="323"/>
      <c r="J227" s="316">
        <f>F227</f>
        <v>597</v>
      </c>
      <c r="K227" s="316">
        <v>300</v>
      </c>
      <c r="L227" s="324"/>
      <c r="M227" s="307"/>
      <c r="N227" s="307">
        <f t="shared" si="188"/>
        <v>601.47749999999996</v>
      </c>
      <c r="O227" s="307">
        <f>N227/13</f>
        <v>46.267499999999998</v>
      </c>
      <c r="P227" s="307"/>
      <c r="Q227" s="307"/>
      <c r="R227" s="307"/>
      <c r="S227" s="307">
        <f t="shared" si="172"/>
        <v>582.07499999999993</v>
      </c>
      <c r="T227" s="307">
        <f>S227/13</f>
        <v>44.774999999999991</v>
      </c>
      <c r="U227" s="307"/>
      <c r="V227" s="307"/>
      <c r="W227" s="307">
        <f>N227+Q227+S227+U227</f>
        <v>1183.5524999999998</v>
      </c>
      <c r="X227" s="307">
        <f t="shared" si="173"/>
        <v>77.61</v>
      </c>
      <c r="Y227" s="307">
        <f>X227/13</f>
        <v>5.97</v>
      </c>
      <c r="Z227" s="307"/>
      <c r="AA227" s="307"/>
      <c r="AB227" s="307"/>
      <c r="AC227" s="307"/>
      <c r="AD227" s="307"/>
      <c r="AE227" s="307"/>
      <c r="AF227" s="307"/>
      <c r="AG227" s="325"/>
      <c r="AH227" s="325"/>
      <c r="AI227" s="324"/>
      <c r="AJ227" s="324"/>
    </row>
    <row r="228" spans="1:36" ht="19.5">
      <c r="A228" s="21">
        <f t="shared" si="174"/>
        <v>178</v>
      </c>
      <c r="B228" s="147" t="s">
        <v>368</v>
      </c>
      <c r="C228" s="107" t="s">
        <v>355</v>
      </c>
      <c r="D228" s="313" t="s">
        <v>79</v>
      </c>
      <c r="E228" s="331" t="s">
        <v>306</v>
      </c>
      <c r="F228" s="315">
        <f>417+50+50</f>
        <v>517</v>
      </c>
      <c r="G228" s="316">
        <f t="shared" si="187"/>
        <v>6204</v>
      </c>
      <c r="H228" s="316">
        <v>60</v>
      </c>
      <c r="I228" s="323"/>
      <c r="J228" s="316">
        <f t="shared" si="170"/>
        <v>517</v>
      </c>
      <c r="K228" s="316">
        <v>300</v>
      </c>
      <c r="L228" s="324"/>
      <c r="M228" s="307">
        <v>125</v>
      </c>
      <c r="N228" s="307">
        <f t="shared" si="188"/>
        <v>520.87750000000005</v>
      </c>
      <c r="O228" s="307"/>
      <c r="P228" s="307">
        <f>N228/13</f>
        <v>40.067500000000003</v>
      </c>
      <c r="Q228" s="307"/>
      <c r="R228" s="307"/>
      <c r="S228" s="307">
        <f t="shared" si="172"/>
        <v>504.07499999999999</v>
      </c>
      <c r="T228" s="307">
        <f t="shared" si="175"/>
        <v>38.774999999999999</v>
      </c>
      <c r="U228" s="307"/>
      <c r="V228" s="307"/>
      <c r="W228" s="307">
        <f t="shared" si="177"/>
        <v>1024.9525000000001</v>
      </c>
      <c r="X228" s="307">
        <f t="shared" si="173"/>
        <v>67.209999999999994</v>
      </c>
      <c r="Y228" s="307">
        <f t="shared" si="176"/>
        <v>5.17</v>
      </c>
      <c r="Z228" s="325"/>
      <c r="AA228" s="325"/>
      <c r="AB228" s="324"/>
      <c r="AC228" s="325"/>
      <c r="AD228" s="324"/>
      <c r="AE228" s="307"/>
      <c r="AF228" s="325"/>
      <c r="AG228" s="325"/>
      <c r="AH228" s="325"/>
      <c r="AI228" s="325"/>
      <c r="AJ228" s="324"/>
    </row>
    <row r="229" spans="1:36" ht="19.5">
      <c r="A229" s="21">
        <f t="shared" si="174"/>
        <v>179</v>
      </c>
      <c r="B229" s="147" t="s">
        <v>368</v>
      </c>
      <c r="C229" s="107" t="s">
        <v>355</v>
      </c>
      <c r="D229" s="313" t="s">
        <v>79</v>
      </c>
      <c r="E229" s="331" t="s">
        <v>306</v>
      </c>
      <c r="F229" s="315">
        <f>417+50+50</f>
        <v>517</v>
      </c>
      <c r="G229" s="316">
        <f t="shared" si="187"/>
        <v>6204</v>
      </c>
      <c r="H229" s="316">
        <v>60</v>
      </c>
      <c r="I229" s="323"/>
      <c r="J229" s="316">
        <f t="shared" si="170"/>
        <v>517</v>
      </c>
      <c r="K229" s="316">
        <v>300</v>
      </c>
      <c r="L229" s="324"/>
      <c r="M229" s="307">
        <v>125</v>
      </c>
      <c r="N229" s="307">
        <f t="shared" si="188"/>
        <v>520.87750000000005</v>
      </c>
      <c r="O229" s="307">
        <f>N229/13</f>
        <v>40.067500000000003</v>
      </c>
      <c r="P229" s="307"/>
      <c r="Q229" s="307"/>
      <c r="R229" s="307"/>
      <c r="S229" s="307">
        <f t="shared" si="172"/>
        <v>504.07499999999999</v>
      </c>
      <c r="T229" s="307">
        <f t="shared" si="175"/>
        <v>38.774999999999999</v>
      </c>
      <c r="U229" s="307"/>
      <c r="V229" s="307"/>
      <c r="W229" s="307">
        <f t="shared" si="177"/>
        <v>1024.9525000000001</v>
      </c>
      <c r="X229" s="307">
        <f t="shared" si="173"/>
        <v>67.209999999999994</v>
      </c>
      <c r="Y229" s="307">
        <f t="shared" si="176"/>
        <v>5.17</v>
      </c>
      <c r="Z229" s="325"/>
      <c r="AA229" s="325"/>
      <c r="AB229" s="324"/>
      <c r="AC229" s="325"/>
      <c r="AD229" s="324"/>
      <c r="AE229" s="307"/>
      <c r="AF229" s="325"/>
      <c r="AG229" s="325"/>
      <c r="AH229" s="325"/>
      <c r="AI229" s="325"/>
      <c r="AJ229" s="324"/>
    </row>
    <row r="230" spans="1:36" ht="19.5">
      <c r="A230" s="21">
        <f t="shared" si="174"/>
        <v>180</v>
      </c>
      <c r="B230" s="147" t="s">
        <v>368</v>
      </c>
      <c r="C230" s="107" t="s">
        <v>355</v>
      </c>
      <c r="D230" s="313" t="s">
        <v>79</v>
      </c>
      <c r="E230" s="331" t="s">
        <v>306</v>
      </c>
      <c r="F230" s="315">
        <f>417+50+50</f>
        <v>517</v>
      </c>
      <c r="G230" s="316">
        <f t="shared" si="187"/>
        <v>6204</v>
      </c>
      <c r="H230" s="316">
        <v>60</v>
      </c>
      <c r="I230" s="316"/>
      <c r="J230" s="316">
        <f t="shared" si="170"/>
        <v>517</v>
      </c>
      <c r="K230" s="316">
        <v>300</v>
      </c>
      <c r="L230" s="307"/>
      <c r="M230" s="307">
        <v>125</v>
      </c>
      <c r="N230" s="307">
        <f t="shared" si="188"/>
        <v>520.87750000000005</v>
      </c>
      <c r="O230" s="307"/>
      <c r="P230" s="307">
        <f t="shared" ref="P230:P236" si="189">N230/13</f>
        <v>40.067500000000003</v>
      </c>
      <c r="Q230" s="307"/>
      <c r="R230" s="307"/>
      <c r="S230" s="307">
        <f t="shared" si="172"/>
        <v>504.07499999999999</v>
      </c>
      <c r="T230" s="307">
        <f t="shared" si="175"/>
        <v>38.774999999999999</v>
      </c>
      <c r="U230" s="307"/>
      <c r="V230" s="307"/>
      <c r="W230" s="307">
        <f t="shared" si="177"/>
        <v>1024.9525000000001</v>
      </c>
      <c r="X230" s="307">
        <f t="shared" si="173"/>
        <v>67.209999999999994</v>
      </c>
      <c r="Y230" s="307">
        <f t="shared" si="176"/>
        <v>5.17</v>
      </c>
      <c r="Z230" s="307"/>
      <c r="AA230" s="307"/>
      <c r="AB230" s="307"/>
      <c r="AC230" s="307"/>
      <c r="AD230" s="307"/>
      <c r="AE230" s="307"/>
      <c r="AF230" s="307"/>
      <c r="AG230" s="307"/>
      <c r="AH230" s="307"/>
      <c r="AI230" s="307"/>
      <c r="AJ230" s="307"/>
    </row>
    <row r="231" spans="1:36" ht="19.5">
      <c r="A231" s="21">
        <f t="shared" si="174"/>
        <v>181</v>
      </c>
      <c r="B231" s="335" t="s">
        <v>368</v>
      </c>
      <c r="C231" s="107" t="s">
        <v>355</v>
      </c>
      <c r="D231" s="313" t="s">
        <v>79</v>
      </c>
      <c r="E231" s="331" t="s">
        <v>306</v>
      </c>
      <c r="F231" s="315">
        <f>417+50</f>
        <v>467</v>
      </c>
      <c r="G231" s="316">
        <f t="shared" si="187"/>
        <v>5604</v>
      </c>
      <c r="H231" s="316">
        <v>60</v>
      </c>
      <c r="I231" s="323"/>
      <c r="J231" s="316">
        <v>467</v>
      </c>
      <c r="K231" s="316">
        <v>300</v>
      </c>
      <c r="L231" s="324"/>
      <c r="M231" s="307"/>
      <c r="N231" s="307">
        <f t="shared" si="188"/>
        <v>470.50250000000005</v>
      </c>
      <c r="O231" s="321"/>
      <c r="P231" s="307">
        <f>N231/13</f>
        <v>36.192500000000003</v>
      </c>
      <c r="Q231" s="324"/>
      <c r="R231" s="324"/>
      <c r="S231" s="307">
        <f t="shared" si="172"/>
        <v>455.32499999999999</v>
      </c>
      <c r="T231" s="307">
        <f>S231/13</f>
        <v>35.024999999999999</v>
      </c>
      <c r="U231" s="324"/>
      <c r="V231" s="324"/>
      <c r="W231" s="307">
        <f>N231+Q231+S231+U231</f>
        <v>925.8275000000001</v>
      </c>
      <c r="X231" s="307">
        <f t="shared" si="173"/>
        <v>60.71</v>
      </c>
      <c r="Y231" s="307">
        <f>X231/13</f>
        <v>4.67</v>
      </c>
      <c r="Z231" s="325"/>
      <c r="AA231" s="325"/>
      <c r="AB231" s="324"/>
      <c r="AC231" s="325"/>
      <c r="AD231" s="324"/>
      <c r="AE231" s="307"/>
      <c r="AF231" s="325"/>
      <c r="AG231" s="325"/>
      <c r="AH231" s="325"/>
      <c r="AI231" s="325"/>
      <c r="AJ231" s="324"/>
    </row>
    <row r="232" spans="1:36" ht="19.5">
      <c r="A232" s="21">
        <f t="shared" si="174"/>
        <v>182</v>
      </c>
      <c r="B232" s="147" t="s">
        <v>368</v>
      </c>
      <c r="C232" s="107" t="s">
        <v>355</v>
      </c>
      <c r="D232" s="313" t="s">
        <v>79</v>
      </c>
      <c r="E232" s="331" t="s">
        <v>306</v>
      </c>
      <c r="F232" s="315">
        <f>417+50+50</f>
        <v>517</v>
      </c>
      <c r="G232" s="316">
        <f t="shared" si="169"/>
        <v>6204</v>
      </c>
      <c r="H232" s="316">
        <v>60</v>
      </c>
      <c r="I232" s="316"/>
      <c r="J232" s="316">
        <f t="shared" si="170"/>
        <v>517</v>
      </c>
      <c r="K232" s="316">
        <v>300</v>
      </c>
      <c r="L232" s="307"/>
      <c r="M232" s="307"/>
      <c r="N232" s="307">
        <f t="shared" si="188"/>
        <v>520.87750000000005</v>
      </c>
      <c r="O232" s="307"/>
      <c r="P232" s="307">
        <f t="shared" si="189"/>
        <v>40.067500000000003</v>
      </c>
      <c r="Q232" s="307"/>
      <c r="R232" s="307"/>
      <c r="S232" s="307">
        <f t="shared" si="172"/>
        <v>504.07499999999999</v>
      </c>
      <c r="T232" s="307">
        <f t="shared" si="175"/>
        <v>38.774999999999999</v>
      </c>
      <c r="U232" s="307"/>
      <c r="V232" s="307"/>
      <c r="W232" s="307">
        <f t="shared" si="177"/>
        <v>1024.9525000000001</v>
      </c>
      <c r="X232" s="307">
        <f t="shared" si="173"/>
        <v>67.209999999999994</v>
      </c>
      <c r="Y232" s="307">
        <f t="shared" si="176"/>
        <v>5.17</v>
      </c>
      <c r="Z232" s="307"/>
      <c r="AA232" s="307"/>
      <c r="AB232" s="307"/>
      <c r="AC232" s="307"/>
      <c r="AD232" s="307"/>
      <c r="AE232" s="307"/>
      <c r="AF232" s="307"/>
      <c r="AG232" s="307"/>
      <c r="AH232" s="307"/>
      <c r="AI232" s="307"/>
      <c r="AJ232" s="307"/>
    </row>
    <row r="233" spans="1:36" ht="19.5">
      <c r="A233" s="21">
        <f t="shared" si="174"/>
        <v>183</v>
      </c>
      <c r="B233" s="165" t="s">
        <v>370</v>
      </c>
      <c r="C233" s="107" t="s">
        <v>355</v>
      </c>
      <c r="D233" s="313" t="s">
        <v>759</v>
      </c>
      <c r="E233" s="331" t="s">
        <v>306</v>
      </c>
      <c r="F233" s="315">
        <v>417</v>
      </c>
      <c r="G233" s="316">
        <f>F233*12</f>
        <v>5004</v>
      </c>
      <c r="H233" s="316">
        <v>60</v>
      </c>
      <c r="I233" s="323"/>
      <c r="J233" s="316">
        <v>417</v>
      </c>
      <c r="K233" s="316">
        <v>300</v>
      </c>
      <c r="L233" s="324"/>
      <c r="M233" s="307"/>
      <c r="N233" s="307">
        <f t="shared" si="188"/>
        <v>420.12750000000005</v>
      </c>
      <c r="O233" s="307"/>
      <c r="P233" s="307">
        <f t="shared" si="189"/>
        <v>32.317500000000003</v>
      </c>
      <c r="Q233" s="307"/>
      <c r="R233" s="307"/>
      <c r="S233" s="307">
        <f t="shared" si="172"/>
        <v>406.57499999999999</v>
      </c>
      <c r="T233" s="307">
        <f>S233/13</f>
        <v>31.274999999999999</v>
      </c>
      <c r="U233" s="307"/>
      <c r="V233" s="307"/>
      <c r="W233" s="307">
        <f t="shared" ref="W233:W234" si="190">N233+Q233+S233+U233+0.01</f>
        <v>826.71250000000009</v>
      </c>
      <c r="X233" s="307">
        <f t="shared" si="173"/>
        <v>54.21</v>
      </c>
      <c r="Y233" s="307">
        <f>X233/13</f>
        <v>4.17</v>
      </c>
      <c r="Z233" s="307"/>
      <c r="AA233" s="307"/>
      <c r="AB233" s="324"/>
      <c r="AC233" s="307"/>
      <c r="AD233" s="307"/>
      <c r="AE233" s="307"/>
      <c r="AF233" s="307"/>
      <c r="AG233" s="325"/>
      <c r="AH233" s="325"/>
      <c r="AI233" s="325"/>
      <c r="AJ233" s="324"/>
    </row>
    <row r="234" spans="1:36" ht="19.5">
      <c r="A234" s="21">
        <f t="shared" si="174"/>
        <v>184</v>
      </c>
      <c r="B234" s="165" t="s">
        <v>370</v>
      </c>
      <c r="C234" s="107" t="s">
        <v>355</v>
      </c>
      <c r="D234" s="313" t="s">
        <v>759</v>
      </c>
      <c r="E234" s="331" t="s">
        <v>306</v>
      </c>
      <c r="F234" s="315">
        <v>417</v>
      </c>
      <c r="G234" s="316">
        <f>F234*12</f>
        <v>5004</v>
      </c>
      <c r="H234" s="316">
        <v>60</v>
      </c>
      <c r="I234" s="323"/>
      <c r="J234" s="316">
        <v>417</v>
      </c>
      <c r="K234" s="316">
        <v>300</v>
      </c>
      <c r="L234" s="324"/>
      <c r="M234" s="307"/>
      <c r="N234" s="307">
        <f t="shared" si="188"/>
        <v>420.12750000000005</v>
      </c>
      <c r="O234" s="307"/>
      <c r="P234" s="307">
        <f t="shared" si="189"/>
        <v>32.317500000000003</v>
      </c>
      <c r="Q234" s="307"/>
      <c r="R234" s="307"/>
      <c r="S234" s="307">
        <f t="shared" si="172"/>
        <v>406.57499999999999</v>
      </c>
      <c r="T234" s="307">
        <f>S234/13</f>
        <v>31.274999999999999</v>
      </c>
      <c r="U234" s="307"/>
      <c r="V234" s="307"/>
      <c r="W234" s="307">
        <f t="shared" si="190"/>
        <v>826.71250000000009</v>
      </c>
      <c r="X234" s="307">
        <f t="shared" si="173"/>
        <v>54.21</v>
      </c>
      <c r="Y234" s="307">
        <f>X234/13</f>
        <v>4.17</v>
      </c>
      <c r="Z234" s="325"/>
      <c r="AA234" s="325"/>
      <c r="AB234" s="324"/>
      <c r="AC234" s="325"/>
      <c r="AD234" s="324"/>
      <c r="AE234" s="307"/>
      <c r="AF234" s="325"/>
      <c r="AG234" s="325"/>
      <c r="AH234" s="325"/>
      <c r="AI234" s="325"/>
      <c r="AJ234" s="324"/>
    </row>
    <row r="235" spans="1:36" ht="19.5">
      <c r="A235" s="21">
        <f t="shared" si="174"/>
        <v>185</v>
      </c>
      <c r="B235" s="335" t="s">
        <v>370</v>
      </c>
      <c r="C235" s="107" t="s">
        <v>355</v>
      </c>
      <c r="D235" s="313" t="s">
        <v>762</v>
      </c>
      <c r="E235" s="331" t="s">
        <v>306</v>
      </c>
      <c r="F235" s="315">
        <v>417</v>
      </c>
      <c r="G235" s="316">
        <f t="shared" si="169"/>
        <v>5004</v>
      </c>
      <c r="H235" s="316">
        <v>60</v>
      </c>
      <c r="I235" s="323"/>
      <c r="J235" s="316">
        <f>F235</f>
        <v>417</v>
      </c>
      <c r="K235" s="316">
        <v>300</v>
      </c>
      <c r="L235" s="324"/>
      <c r="M235" s="307"/>
      <c r="N235" s="307">
        <f t="shared" si="188"/>
        <v>420.12750000000005</v>
      </c>
      <c r="O235" s="321"/>
      <c r="P235" s="307">
        <f t="shared" si="189"/>
        <v>32.317500000000003</v>
      </c>
      <c r="Q235" s="307"/>
      <c r="R235" s="307"/>
      <c r="S235" s="307">
        <f t="shared" si="172"/>
        <v>406.57499999999999</v>
      </c>
      <c r="T235" s="307">
        <f t="shared" si="175"/>
        <v>31.274999999999999</v>
      </c>
      <c r="U235" s="307"/>
      <c r="V235" s="307"/>
      <c r="W235" s="307">
        <f>N235+Q235+S235+U235+0.01</f>
        <v>826.71250000000009</v>
      </c>
      <c r="X235" s="307">
        <f t="shared" si="173"/>
        <v>54.21</v>
      </c>
      <c r="Y235" s="307">
        <f t="shared" si="176"/>
        <v>4.17</v>
      </c>
      <c r="Z235" s="325"/>
      <c r="AA235" s="325"/>
      <c r="AB235" s="324"/>
      <c r="AC235" s="325"/>
      <c r="AD235" s="324"/>
      <c r="AE235" s="307"/>
      <c r="AF235" s="325"/>
      <c r="AG235" s="325"/>
      <c r="AH235" s="325"/>
      <c r="AI235" s="325"/>
      <c r="AJ235" s="324"/>
    </row>
    <row r="236" spans="1:36" ht="19.5">
      <c r="A236" s="21">
        <f t="shared" si="174"/>
        <v>186</v>
      </c>
      <c r="B236" s="335" t="s">
        <v>370</v>
      </c>
      <c r="C236" s="107" t="s">
        <v>355</v>
      </c>
      <c r="D236" s="313" t="s">
        <v>762</v>
      </c>
      <c r="E236" s="331" t="s">
        <v>306</v>
      </c>
      <c r="F236" s="315">
        <v>417</v>
      </c>
      <c r="G236" s="316">
        <f t="shared" si="169"/>
        <v>5004</v>
      </c>
      <c r="H236" s="316">
        <v>60</v>
      </c>
      <c r="I236" s="323"/>
      <c r="J236" s="316">
        <f>F236</f>
        <v>417</v>
      </c>
      <c r="K236" s="316">
        <v>300</v>
      </c>
      <c r="L236" s="324"/>
      <c r="M236" s="307"/>
      <c r="N236" s="307">
        <f t="shared" si="188"/>
        <v>420.12750000000005</v>
      </c>
      <c r="O236" s="307"/>
      <c r="P236" s="307">
        <f t="shared" si="189"/>
        <v>32.317500000000003</v>
      </c>
      <c r="Q236" s="307"/>
      <c r="R236" s="307"/>
      <c r="S236" s="307">
        <f t="shared" si="172"/>
        <v>406.57499999999999</v>
      </c>
      <c r="T236" s="307">
        <f t="shared" si="175"/>
        <v>31.274999999999999</v>
      </c>
      <c r="U236" s="307"/>
      <c r="V236" s="307"/>
      <c r="W236" s="307">
        <f>N236+Q236+S236+U236+0.01</f>
        <v>826.71250000000009</v>
      </c>
      <c r="X236" s="307">
        <f t="shared" si="173"/>
        <v>54.21</v>
      </c>
      <c r="Y236" s="307">
        <f t="shared" si="176"/>
        <v>4.17</v>
      </c>
      <c r="Z236" s="325"/>
      <c r="AA236" s="325"/>
      <c r="AB236" s="324"/>
      <c r="AC236" s="325"/>
      <c r="AD236" s="324"/>
      <c r="AE236" s="307"/>
      <c r="AF236" s="325"/>
      <c r="AG236" s="325"/>
      <c r="AH236" s="325"/>
      <c r="AI236" s="325"/>
      <c r="AJ236" s="324"/>
    </row>
    <row r="237" spans="1:36">
      <c r="A237" s="49"/>
      <c r="B237" s="203" t="s">
        <v>383</v>
      </c>
      <c r="C237" s="342"/>
      <c r="D237" s="156"/>
      <c r="E237" s="343"/>
      <c r="F237" s="319">
        <f t="shared" ref="F237:R237" si="191">SUM(F216:F236)</f>
        <v>11492</v>
      </c>
      <c r="G237" s="320">
        <f t="shared" si="191"/>
        <v>137904</v>
      </c>
      <c r="H237" s="320">
        <f t="shared" si="191"/>
        <v>1260</v>
      </c>
      <c r="I237" s="320">
        <f t="shared" si="191"/>
        <v>0</v>
      </c>
      <c r="J237" s="320">
        <f t="shared" si="191"/>
        <v>11492</v>
      </c>
      <c r="K237" s="320">
        <f t="shared" si="191"/>
        <v>6300</v>
      </c>
      <c r="L237" s="312">
        <f t="shared" si="191"/>
        <v>0</v>
      </c>
      <c r="M237" s="312">
        <f t="shared" si="191"/>
        <v>875</v>
      </c>
      <c r="N237" s="312">
        <f>SUM(N216:N236)+0.04</f>
        <v>10876.002500000004</v>
      </c>
      <c r="O237" s="312">
        <f>SUM(O216:O236)+0.01</f>
        <v>203.67999999999998</v>
      </c>
      <c r="P237" s="312">
        <f>SUM(P216:P236)+0.03</f>
        <v>632.97249999999997</v>
      </c>
      <c r="Q237" s="312">
        <f t="shared" si="191"/>
        <v>0</v>
      </c>
      <c r="R237" s="312">
        <f t="shared" si="191"/>
        <v>0</v>
      </c>
      <c r="S237" s="312">
        <f>SUM(S216:S236)+0.08</f>
        <v>11204.780000000002</v>
      </c>
      <c r="T237" s="312">
        <f>SUM(T216:T236)+0.07</f>
        <v>861.9699999999998</v>
      </c>
      <c r="U237" s="312">
        <f>SUM(U216:U236)</f>
        <v>543.66</v>
      </c>
      <c r="V237" s="312">
        <f>SUM(V216:V236)</f>
        <v>34.020000000000003</v>
      </c>
      <c r="W237" s="312">
        <f>SUM(W216:W236)+0.01</f>
        <v>22624.392500000002</v>
      </c>
      <c r="X237" s="312">
        <f>SUM(X216:X236)</f>
        <v>1493.9600000000003</v>
      </c>
      <c r="Y237" s="312">
        <f>SUM(Y216:Y236)</f>
        <v>114.92000000000002</v>
      </c>
      <c r="Z237" s="312"/>
      <c r="AA237" s="312"/>
      <c r="AB237" s="312"/>
      <c r="AC237" s="312"/>
      <c r="AD237" s="312"/>
      <c r="AE237" s="312"/>
      <c r="AF237" s="312"/>
      <c r="AG237" s="312"/>
      <c r="AH237" s="312"/>
      <c r="AI237" s="312"/>
      <c r="AJ237" s="312"/>
    </row>
    <row r="238" spans="1:36" ht="28.5" customHeight="1">
      <c r="A238" s="21">
        <f>A236+1</f>
        <v>187</v>
      </c>
      <c r="B238" s="163" t="s">
        <v>667</v>
      </c>
      <c r="C238" s="107" t="s">
        <v>665</v>
      </c>
      <c r="D238" s="313" t="s">
        <v>79</v>
      </c>
      <c r="E238" s="314" t="s">
        <v>306</v>
      </c>
      <c r="F238" s="315">
        <v>1250</v>
      </c>
      <c r="G238" s="316">
        <f>F238*12</f>
        <v>15000</v>
      </c>
      <c r="H238" s="316">
        <v>60</v>
      </c>
      <c r="I238" s="323"/>
      <c r="J238" s="316">
        <f>F238</f>
        <v>1250</v>
      </c>
      <c r="K238" s="316">
        <v>300</v>
      </c>
      <c r="L238" s="324"/>
      <c r="M238" s="307"/>
      <c r="N238" s="307">
        <f>F238*0.0775*13</f>
        <v>1259.375</v>
      </c>
      <c r="O238" s="321"/>
      <c r="P238" s="307">
        <f>N238/13</f>
        <v>96.875</v>
      </c>
      <c r="Q238" s="307"/>
      <c r="R238" s="307"/>
      <c r="S238" s="307">
        <f>F238*0.075*13</f>
        <v>1218.75</v>
      </c>
      <c r="T238" s="307">
        <f>S238/13</f>
        <v>93.75</v>
      </c>
      <c r="U238" s="307"/>
      <c r="V238" s="307"/>
      <c r="W238" s="307">
        <f>N238+Q238+S238+U238</f>
        <v>2478.125</v>
      </c>
      <c r="X238" s="307">
        <f>F238*0.01*13</f>
        <v>162.5</v>
      </c>
      <c r="Y238" s="307">
        <f t="shared" ref="Y238:Y239" si="192">X238/13</f>
        <v>12.5</v>
      </c>
      <c r="Z238" s="325"/>
      <c r="AA238" s="325"/>
      <c r="AB238" s="324"/>
      <c r="AC238" s="325"/>
      <c r="AD238" s="324"/>
      <c r="AE238" s="307"/>
      <c r="AF238" s="325"/>
      <c r="AG238" s="325"/>
      <c r="AH238" s="325"/>
      <c r="AI238" s="325"/>
      <c r="AJ238" s="324"/>
    </row>
    <row r="239" spans="1:36" ht="28.5" customHeight="1">
      <c r="A239" s="21">
        <f>A238+1</f>
        <v>188</v>
      </c>
      <c r="B239" s="163" t="s">
        <v>123</v>
      </c>
      <c r="C239" s="107" t="s">
        <v>665</v>
      </c>
      <c r="D239" s="313" t="s">
        <v>79</v>
      </c>
      <c r="E239" s="314" t="s">
        <v>306</v>
      </c>
      <c r="F239" s="315">
        <f>547+30+50+50</f>
        <v>677</v>
      </c>
      <c r="G239" s="316">
        <f>F239*12</f>
        <v>8124</v>
      </c>
      <c r="H239" s="316">
        <v>60</v>
      </c>
      <c r="I239" s="323"/>
      <c r="J239" s="316">
        <f>F239</f>
        <v>677</v>
      </c>
      <c r="K239" s="316">
        <v>300</v>
      </c>
      <c r="L239" s="324"/>
      <c r="M239" s="307">
        <v>125</v>
      </c>
      <c r="N239" s="307">
        <f>F239*0.0775*13</f>
        <v>682.07749999999999</v>
      </c>
      <c r="O239" s="307">
        <f>N239/13</f>
        <v>52.467500000000001</v>
      </c>
      <c r="P239" s="307"/>
      <c r="Q239" s="307"/>
      <c r="R239" s="307"/>
      <c r="S239" s="307">
        <f>F239*0.075*13</f>
        <v>660.07499999999993</v>
      </c>
      <c r="T239" s="307">
        <f>S239/13</f>
        <v>50.774999999999991</v>
      </c>
      <c r="U239" s="307"/>
      <c r="V239" s="307"/>
      <c r="W239" s="307">
        <f>N239+Q239+S239+U239</f>
        <v>1342.1524999999999</v>
      </c>
      <c r="X239" s="307">
        <f>F239*0.01*13</f>
        <v>88.01</v>
      </c>
      <c r="Y239" s="307">
        <f t="shared" si="192"/>
        <v>6.7700000000000005</v>
      </c>
      <c r="Z239" s="325"/>
      <c r="AA239" s="325"/>
      <c r="AB239" s="324"/>
      <c r="AC239" s="325"/>
      <c r="AD239" s="324"/>
      <c r="AE239" s="307"/>
      <c r="AF239" s="325"/>
      <c r="AG239" s="325"/>
      <c r="AH239" s="325"/>
      <c r="AI239" s="325"/>
      <c r="AJ239" s="324"/>
    </row>
    <row r="240" spans="1:36">
      <c r="A240" s="21"/>
      <c r="B240" s="138" t="s">
        <v>620</v>
      </c>
      <c r="C240" s="107"/>
      <c r="D240" s="313"/>
      <c r="E240" s="314"/>
      <c r="F240" s="319">
        <f>SUM(F238:F239)</f>
        <v>1927</v>
      </c>
      <c r="G240" s="319">
        <f t="shared" ref="G240:AJ240" si="193">SUM(G238:G239)</f>
        <v>23124</v>
      </c>
      <c r="H240" s="319">
        <f t="shared" si="193"/>
        <v>120</v>
      </c>
      <c r="I240" s="319">
        <f t="shared" si="193"/>
        <v>0</v>
      </c>
      <c r="J240" s="319">
        <f t="shared" si="193"/>
        <v>1927</v>
      </c>
      <c r="K240" s="319">
        <f t="shared" si="193"/>
        <v>600</v>
      </c>
      <c r="L240" s="319">
        <f t="shared" si="193"/>
        <v>0</v>
      </c>
      <c r="M240" s="319">
        <f t="shared" si="193"/>
        <v>125</v>
      </c>
      <c r="N240" s="319">
        <f>SUM(N238:N239)+0.01</f>
        <v>1941.4624999999999</v>
      </c>
      <c r="O240" s="319">
        <f t="shared" si="193"/>
        <v>52.467500000000001</v>
      </c>
      <c r="P240" s="319">
        <f t="shared" si="193"/>
        <v>96.875</v>
      </c>
      <c r="Q240" s="319">
        <f t="shared" si="193"/>
        <v>0</v>
      </c>
      <c r="R240" s="319">
        <f t="shared" si="193"/>
        <v>0</v>
      </c>
      <c r="S240" s="319">
        <f t="shared" si="193"/>
        <v>1878.8249999999998</v>
      </c>
      <c r="T240" s="319">
        <f t="shared" si="193"/>
        <v>144.52499999999998</v>
      </c>
      <c r="U240" s="319">
        <f t="shared" si="193"/>
        <v>0</v>
      </c>
      <c r="V240" s="319">
        <f t="shared" si="193"/>
        <v>0</v>
      </c>
      <c r="W240" s="319">
        <f>SUM(W238:W239)+0.01</f>
        <v>3820.2875000000004</v>
      </c>
      <c r="X240" s="319">
        <f t="shared" si="193"/>
        <v>250.51</v>
      </c>
      <c r="Y240" s="319">
        <f t="shared" si="193"/>
        <v>19.27</v>
      </c>
      <c r="Z240" s="319">
        <f t="shared" si="193"/>
        <v>0</v>
      </c>
      <c r="AA240" s="319">
        <f t="shared" si="193"/>
        <v>0</v>
      </c>
      <c r="AB240" s="319">
        <f t="shared" si="193"/>
        <v>0</v>
      </c>
      <c r="AC240" s="319">
        <f t="shared" si="193"/>
        <v>0</v>
      </c>
      <c r="AD240" s="319">
        <f t="shared" si="193"/>
        <v>0</v>
      </c>
      <c r="AE240" s="319">
        <f t="shared" si="193"/>
        <v>0</v>
      </c>
      <c r="AF240" s="319">
        <f t="shared" si="193"/>
        <v>0</v>
      </c>
      <c r="AG240" s="319">
        <f t="shared" si="193"/>
        <v>0</v>
      </c>
      <c r="AH240" s="319">
        <f t="shared" si="193"/>
        <v>0</v>
      </c>
      <c r="AI240" s="319">
        <f t="shared" si="193"/>
        <v>0</v>
      </c>
      <c r="AJ240" s="319">
        <f t="shared" si="193"/>
        <v>0</v>
      </c>
    </row>
    <row r="241" spans="1:36" ht="37.5" customHeight="1">
      <c r="A241" s="21">
        <f>A239+1</f>
        <v>189</v>
      </c>
      <c r="B241" s="339" t="s">
        <v>709</v>
      </c>
      <c r="C241" s="107" t="s">
        <v>666</v>
      </c>
      <c r="D241" s="313" t="s">
        <v>762</v>
      </c>
      <c r="E241" s="314" t="s">
        <v>306</v>
      </c>
      <c r="F241" s="315">
        <v>700</v>
      </c>
      <c r="G241" s="316">
        <f>F241*12</f>
        <v>8400</v>
      </c>
      <c r="H241" s="316">
        <v>60</v>
      </c>
      <c r="I241" s="323"/>
      <c r="J241" s="316">
        <f>F241</f>
        <v>700</v>
      </c>
      <c r="K241" s="316">
        <v>300</v>
      </c>
      <c r="L241" s="324"/>
      <c r="M241" s="307"/>
      <c r="N241" s="307">
        <f>F241*0.0775*13</f>
        <v>705.25</v>
      </c>
      <c r="O241" s="321"/>
      <c r="P241" s="307">
        <f>N241/13</f>
        <v>54.25</v>
      </c>
      <c r="Q241" s="307"/>
      <c r="R241" s="307"/>
      <c r="S241" s="307">
        <f>F241*0.075*13</f>
        <v>682.5</v>
      </c>
      <c r="T241" s="307">
        <f>S241/13</f>
        <v>52.5</v>
      </c>
      <c r="U241" s="307"/>
      <c r="V241" s="307"/>
      <c r="W241" s="307">
        <f>N241+Q241+S241+U241</f>
        <v>1387.75</v>
      </c>
      <c r="X241" s="307">
        <f>F241*0.01*13</f>
        <v>91</v>
      </c>
      <c r="Y241" s="307">
        <f t="shared" ref="Y241" si="194">X241/13</f>
        <v>7</v>
      </c>
      <c r="Z241" s="325"/>
      <c r="AA241" s="325"/>
      <c r="AB241" s="324"/>
      <c r="AC241" s="325"/>
      <c r="AD241" s="324"/>
      <c r="AE241" s="307"/>
      <c r="AF241" s="325"/>
      <c r="AG241" s="325"/>
      <c r="AH241" s="325"/>
      <c r="AI241" s="325"/>
      <c r="AJ241" s="324"/>
    </row>
    <row r="242" spans="1:36" ht="36.75" customHeight="1">
      <c r="A242" s="21">
        <f>A241+1</f>
        <v>190</v>
      </c>
      <c r="B242" s="164" t="s">
        <v>788</v>
      </c>
      <c r="C242" s="107" t="s">
        <v>666</v>
      </c>
      <c r="D242" s="313" t="s">
        <v>759</v>
      </c>
      <c r="E242" s="314" t="s">
        <v>306</v>
      </c>
      <c r="F242" s="315">
        <v>417</v>
      </c>
      <c r="G242" s="316">
        <f>F242*12</f>
        <v>5004</v>
      </c>
      <c r="H242" s="316">
        <v>60</v>
      </c>
      <c r="I242" s="323"/>
      <c r="J242" s="316">
        <f>F242</f>
        <v>417</v>
      </c>
      <c r="K242" s="316">
        <v>300</v>
      </c>
      <c r="L242" s="324"/>
      <c r="M242" s="307"/>
      <c r="N242" s="307">
        <f>F242*0.0775*13</f>
        <v>420.12750000000005</v>
      </c>
      <c r="O242" s="307"/>
      <c r="P242" s="307">
        <f>N242/13</f>
        <v>32.317500000000003</v>
      </c>
      <c r="Q242" s="324"/>
      <c r="R242" s="324"/>
      <c r="S242" s="307">
        <f>F242*0.075*13</f>
        <v>406.57499999999999</v>
      </c>
      <c r="T242" s="307">
        <f>S242/13</f>
        <v>31.274999999999999</v>
      </c>
      <c r="U242" s="324"/>
      <c r="V242" s="324"/>
      <c r="W242" s="307">
        <f>N242+Q242+S242+U242+0.01</f>
        <v>826.71250000000009</v>
      </c>
      <c r="X242" s="307">
        <f>F242*0.01*13</f>
        <v>54.21</v>
      </c>
      <c r="Y242" s="307">
        <f>X242/13</f>
        <v>4.17</v>
      </c>
      <c r="Z242" s="325"/>
      <c r="AA242" s="325"/>
      <c r="AB242" s="324"/>
      <c r="AC242" s="325"/>
      <c r="AD242" s="324"/>
      <c r="AE242" s="307"/>
      <c r="AF242" s="325"/>
      <c r="AG242" s="325"/>
      <c r="AH242" s="325"/>
      <c r="AI242" s="325"/>
      <c r="AJ242" s="324"/>
    </row>
    <row r="243" spans="1:36">
      <c r="A243" s="21"/>
      <c r="B243" s="138" t="s">
        <v>619</v>
      </c>
      <c r="C243" s="138"/>
      <c r="D243" s="313"/>
      <c r="E243" s="314"/>
      <c r="F243" s="319">
        <f>SUM(F241:F242)</f>
        <v>1117</v>
      </c>
      <c r="G243" s="319">
        <f t="shared" ref="G243:AJ243" si="195">SUM(G241:G242)</f>
        <v>13404</v>
      </c>
      <c r="H243" s="319">
        <f t="shared" si="195"/>
        <v>120</v>
      </c>
      <c r="I243" s="319">
        <f t="shared" si="195"/>
        <v>0</v>
      </c>
      <c r="J243" s="319">
        <f t="shared" si="195"/>
        <v>1117</v>
      </c>
      <c r="K243" s="319">
        <f t="shared" si="195"/>
        <v>600</v>
      </c>
      <c r="L243" s="319">
        <f t="shared" si="195"/>
        <v>0</v>
      </c>
      <c r="M243" s="319">
        <f t="shared" si="195"/>
        <v>0</v>
      </c>
      <c r="N243" s="319">
        <f t="shared" si="195"/>
        <v>1125.3775000000001</v>
      </c>
      <c r="O243" s="319">
        <f t="shared" si="195"/>
        <v>0</v>
      </c>
      <c r="P243" s="319">
        <f t="shared" si="195"/>
        <v>86.567499999999995</v>
      </c>
      <c r="Q243" s="319">
        <f t="shared" si="195"/>
        <v>0</v>
      </c>
      <c r="R243" s="319">
        <f t="shared" si="195"/>
        <v>0</v>
      </c>
      <c r="S243" s="319">
        <f t="shared" si="195"/>
        <v>1089.075</v>
      </c>
      <c r="T243" s="319">
        <f t="shared" si="195"/>
        <v>83.775000000000006</v>
      </c>
      <c r="U243" s="319">
        <f t="shared" si="195"/>
        <v>0</v>
      </c>
      <c r="V243" s="319">
        <f t="shared" si="195"/>
        <v>0</v>
      </c>
      <c r="W243" s="319">
        <f t="shared" si="195"/>
        <v>2214.4625000000001</v>
      </c>
      <c r="X243" s="319">
        <f t="shared" si="195"/>
        <v>145.21</v>
      </c>
      <c r="Y243" s="319">
        <f t="shared" si="195"/>
        <v>11.17</v>
      </c>
      <c r="Z243" s="319">
        <f t="shared" si="195"/>
        <v>0</v>
      </c>
      <c r="AA243" s="319">
        <f t="shared" si="195"/>
        <v>0</v>
      </c>
      <c r="AB243" s="319">
        <f t="shared" si="195"/>
        <v>0</v>
      </c>
      <c r="AC243" s="319">
        <f t="shared" si="195"/>
        <v>0</v>
      </c>
      <c r="AD243" s="319">
        <f t="shared" si="195"/>
        <v>0</v>
      </c>
      <c r="AE243" s="319">
        <f t="shared" si="195"/>
        <v>0</v>
      </c>
      <c r="AF243" s="319">
        <f t="shared" si="195"/>
        <v>0</v>
      </c>
      <c r="AG243" s="319">
        <f t="shared" si="195"/>
        <v>0</v>
      </c>
      <c r="AH243" s="319">
        <f t="shared" si="195"/>
        <v>0</v>
      </c>
      <c r="AI243" s="319">
        <f t="shared" si="195"/>
        <v>0</v>
      </c>
      <c r="AJ243" s="319">
        <f t="shared" si="195"/>
        <v>0</v>
      </c>
    </row>
    <row r="244" spans="1:36" ht="21" customHeight="1">
      <c r="A244" s="55">
        <f>A242+1</f>
        <v>191</v>
      </c>
      <c r="B244" s="165" t="s">
        <v>339</v>
      </c>
      <c r="C244" s="107" t="s">
        <v>340</v>
      </c>
      <c r="D244" s="313" t="s">
        <v>759</v>
      </c>
      <c r="E244" s="314" t="s">
        <v>306</v>
      </c>
      <c r="F244" s="315">
        <v>1000</v>
      </c>
      <c r="G244" s="316">
        <f>F244*12</f>
        <v>12000</v>
      </c>
      <c r="H244" s="316">
        <v>60</v>
      </c>
      <c r="I244" s="323"/>
      <c r="J244" s="316">
        <f>F244</f>
        <v>1000</v>
      </c>
      <c r="K244" s="316">
        <v>300</v>
      </c>
      <c r="L244" s="324"/>
      <c r="M244" s="307"/>
      <c r="N244" s="307">
        <f>F244*0.0775*13</f>
        <v>1007.5</v>
      </c>
      <c r="O244" s="321"/>
      <c r="P244" s="307">
        <f>N244/13</f>
        <v>77.5</v>
      </c>
      <c r="Q244" s="307"/>
      <c r="R244" s="307"/>
      <c r="S244" s="307">
        <f>F244*0.075*13</f>
        <v>975</v>
      </c>
      <c r="T244" s="307">
        <f>S244/13</f>
        <v>75</v>
      </c>
      <c r="U244" s="307"/>
      <c r="V244" s="307"/>
      <c r="W244" s="307">
        <f>N244+Q244+S244+U244</f>
        <v>1982.5</v>
      </c>
      <c r="X244" s="307">
        <f>F244*0.01*13</f>
        <v>130</v>
      </c>
      <c r="Y244" s="307">
        <f>X244/13</f>
        <v>10</v>
      </c>
      <c r="Z244" s="325"/>
      <c r="AA244" s="325"/>
      <c r="AB244" s="324"/>
      <c r="AC244" s="325"/>
      <c r="AD244" s="324"/>
      <c r="AE244" s="307"/>
      <c r="AF244" s="325"/>
      <c r="AG244" s="325"/>
      <c r="AH244" s="325"/>
      <c r="AI244" s="325"/>
      <c r="AJ244" s="324"/>
    </row>
    <row r="245" spans="1:36" ht="21" customHeight="1">
      <c r="A245" s="55">
        <f>A244+1</f>
        <v>192</v>
      </c>
      <c r="B245" s="147" t="s">
        <v>342</v>
      </c>
      <c r="C245" s="107" t="s">
        <v>340</v>
      </c>
      <c r="D245" s="313" t="s">
        <v>79</v>
      </c>
      <c r="E245" s="314" t="s">
        <v>306</v>
      </c>
      <c r="F245" s="315">
        <f>845+30+50</f>
        <v>925</v>
      </c>
      <c r="G245" s="316">
        <f>F245*12</f>
        <v>11100</v>
      </c>
      <c r="H245" s="316">
        <v>60</v>
      </c>
      <c r="I245" s="323"/>
      <c r="J245" s="316">
        <f>F245</f>
        <v>925</v>
      </c>
      <c r="K245" s="316">
        <v>300</v>
      </c>
      <c r="L245" s="324"/>
      <c r="M245" s="307"/>
      <c r="N245" s="307">
        <f>F245*0.0775*13</f>
        <v>931.9375</v>
      </c>
      <c r="O245" s="321"/>
      <c r="P245" s="307">
        <f>N245/13</f>
        <v>71.6875</v>
      </c>
      <c r="Q245" s="307"/>
      <c r="R245" s="307"/>
      <c r="S245" s="307">
        <f>F245*0.075*13</f>
        <v>901.875</v>
      </c>
      <c r="T245" s="307">
        <f>S245/13</f>
        <v>69.375</v>
      </c>
      <c r="U245" s="307"/>
      <c r="V245" s="307"/>
      <c r="W245" s="307">
        <f>N245+Q245+S245+U245+0.01</f>
        <v>1833.8225</v>
      </c>
      <c r="X245" s="307">
        <f>F245*0.01*13</f>
        <v>120.25</v>
      </c>
      <c r="Y245" s="307">
        <f>X245/13</f>
        <v>9.25</v>
      </c>
      <c r="Z245" s="325"/>
      <c r="AA245" s="325"/>
      <c r="AB245" s="324"/>
      <c r="AC245" s="325"/>
      <c r="AD245" s="324"/>
      <c r="AE245" s="307"/>
      <c r="AF245" s="325"/>
      <c r="AG245" s="325"/>
      <c r="AH245" s="325"/>
      <c r="AI245" s="325"/>
      <c r="AJ245" s="324"/>
    </row>
    <row r="246" spans="1:36" ht="21" customHeight="1">
      <c r="A246" s="55">
        <f t="shared" ref="A246:A248" si="196">A245+1</f>
        <v>193</v>
      </c>
      <c r="B246" s="335" t="s">
        <v>698</v>
      </c>
      <c r="C246" s="107" t="s">
        <v>340</v>
      </c>
      <c r="D246" s="313" t="s">
        <v>762</v>
      </c>
      <c r="E246" s="314" t="s">
        <v>306</v>
      </c>
      <c r="F246" s="315">
        <v>600</v>
      </c>
      <c r="G246" s="316">
        <f>F246*12</f>
        <v>7200</v>
      </c>
      <c r="H246" s="316">
        <v>60</v>
      </c>
      <c r="I246" s="323"/>
      <c r="J246" s="316">
        <f>F246</f>
        <v>600</v>
      </c>
      <c r="K246" s="316">
        <v>300</v>
      </c>
      <c r="L246" s="324"/>
      <c r="M246" s="307"/>
      <c r="N246" s="307">
        <f>F246*0.0775*13</f>
        <v>604.5</v>
      </c>
      <c r="O246" s="307"/>
      <c r="P246" s="307">
        <f>N246/13</f>
        <v>46.5</v>
      </c>
      <c r="Q246" s="307"/>
      <c r="R246" s="307"/>
      <c r="S246" s="307">
        <f>F246*0.075*13</f>
        <v>585</v>
      </c>
      <c r="T246" s="307">
        <f>S246/13</f>
        <v>45</v>
      </c>
      <c r="U246" s="307"/>
      <c r="V246" s="307"/>
      <c r="W246" s="307">
        <f>N246+Q246+S246+U246</f>
        <v>1189.5</v>
      </c>
      <c r="X246" s="307">
        <f>F246*0.01*13</f>
        <v>78</v>
      </c>
      <c r="Y246" s="307">
        <f>X246/13</f>
        <v>6</v>
      </c>
      <c r="Z246" s="325"/>
      <c r="AA246" s="325"/>
      <c r="AB246" s="324"/>
      <c r="AC246" s="325"/>
      <c r="AD246" s="324"/>
      <c r="AE246" s="307"/>
      <c r="AF246" s="325"/>
      <c r="AG246" s="325"/>
      <c r="AH246" s="325"/>
      <c r="AI246" s="325"/>
      <c r="AJ246" s="324"/>
    </row>
    <row r="247" spans="1:36" ht="21" customHeight="1">
      <c r="A247" s="55">
        <f t="shared" si="196"/>
        <v>194</v>
      </c>
      <c r="B247" s="165" t="s">
        <v>349</v>
      </c>
      <c r="C247" s="107" t="s">
        <v>340</v>
      </c>
      <c r="D247" s="313" t="s">
        <v>759</v>
      </c>
      <c r="E247" s="314" t="s">
        <v>306</v>
      </c>
      <c r="F247" s="315">
        <v>750</v>
      </c>
      <c r="G247" s="316">
        <f>F247*12</f>
        <v>9000</v>
      </c>
      <c r="H247" s="316">
        <v>60</v>
      </c>
      <c r="I247" s="323"/>
      <c r="J247" s="316">
        <f>F247</f>
        <v>750</v>
      </c>
      <c r="K247" s="316">
        <v>300</v>
      </c>
      <c r="L247" s="324"/>
      <c r="M247" s="307"/>
      <c r="N247" s="307">
        <f>F247*0.0775*13</f>
        <v>755.625</v>
      </c>
      <c r="O247" s="307"/>
      <c r="P247" s="307">
        <f>N247/13</f>
        <v>58.125</v>
      </c>
      <c r="Q247" s="307"/>
      <c r="R247" s="307"/>
      <c r="S247" s="307">
        <f>F247*0.075*13</f>
        <v>731.25</v>
      </c>
      <c r="T247" s="307">
        <f>S247/13</f>
        <v>56.25</v>
      </c>
      <c r="U247" s="307"/>
      <c r="V247" s="307"/>
      <c r="W247" s="307">
        <f>N247+Q247+S247+U247</f>
        <v>1486.875</v>
      </c>
      <c r="X247" s="307">
        <f>F247*0.01*13</f>
        <v>97.5</v>
      </c>
      <c r="Y247" s="307">
        <f>X247/13</f>
        <v>7.5</v>
      </c>
      <c r="Z247" s="325"/>
      <c r="AA247" s="325"/>
      <c r="AB247" s="324"/>
      <c r="AC247" s="325"/>
      <c r="AD247" s="324"/>
      <c r="AE247" s="307"/>
      <c r="AF247" s="325"/>
      <c r="AG247" s="325"/>
      <c r="AH247" s="325"/>
      <c r="AI247" s="325"/>
      <c r="AJ247" s="324"/>
    </row>
    <row r="248" spans="1:36" ht="21" customHeight="1">
      <c r="A248" s="55">
        <f t="shared" si="196"/>
        <v>195</v>
      </c>
      <c r="B248" s="212" t="s">
        <v>344</v>
      </c>
      <c r="C248" s="107" t="s">
        <v>340</v>
      </c>
      <c r="D248" s="313" t="s">
        <v>79</v>
      </c>
      <c r="E248" s="314" t="s">
        <v>306</v>
      </c>
      <c r="F248" s="315">
        <f>417+50</f>
        <v>467</v>
      </c>
      <c r="G248" s="316">
        <f>F248*12</f>
        <v>5604</v>
      </c>
      <c r="H248" s="316">
        <v>60</v>
      </c>
      <c r="I248" s="323"/>
      <c r="J248" s="316">
        <f>F248</f>
        <v>467</v>
      </c>
      <c r="K248" s="316">
        <v>300</v>
      </c>
      <c r="L248" s="324"/>
      <c r="M248" s="307">
        <v>125</v>
      </c>
      <c r="N248" s="307">
        <f>F248*0.0775*13</f>
        <v>470.50250000000005</v>
      </c>
      <c r="O248" s="307"/>
      <c r="P248" s="307">
        <f>N248/13</f>
        <v>36.192500000000003</v>
      </c>
      <c r="Q248" s="307"/>
      <c r="R248" s="307"/>
      <c r="S248" s="307">
        <f>F248*0.075*13</f>
        <v>455.32499999999999</v>
      </c>
      <c r="T248" s="307">
        <f>S248/13</f>
        <v>35.024999999999999</v>
      </c>
      <c r="U248" s="307"/>
      <c r="V248" s="307"/>
      <c r="W248" s="307">
        <f>N248+Q248+S248+U248</f>
        <v>925.8275000000001</v>
      </c>
      <c r="X248" s="307">
        <f>F248*0.01*13</f>
        <v>60.71</v>
      </c>
      <c r="Y248" s="307">
        <f>X248/13</f>
        <v>4.67</v>
      </c>
      <c r="Z248" s="325"/>
      <c r="AA248" s="325"/>
      <c r="AB248" s="324"/>
      <c r="AC248" s="325"/>
      <c r="AD248" s="324"/>
      <c r="AE248" s="307"/>
      <c r="AF248" s="325"/>
      <c r="AG248" s="325"/>
      <c r="AH248" s="325"/>
      <c r="AI248" s="325"/>
      <c r="AJ248" s="324"/>
    </row>
    <row r="249" spans="1:36">
      <c r="A249" s="21"/>
      <c r="B249" s="138" t="s">
        <v>346</v>
      </c>
      <c r="C249" s="107"/>
      <c r="D249" s="313"/>
      <c r="E249" s="314"/>
      <c r="F249" s="319">
        <f t="shared" ref="F249:R249" si="197">SUM(F244:F248)</f>
        <v>3742</v>
      </c>
      <c r="G249" s="320">
        <f t="shared" si="197"/>
        <v>44904</v>
      </c>
      <c r="H249" s="320">
        <f t="shared" si="197"/>
        <v>300</v>
      </c>
      <c r="I249" s="320">
        <f t="shared" si="197"/>
        <v>0</v>
      </c>
      <c r="J249" s="320">
        <f t="shared" si="197"/>
        <v>3742</v>
      </c>
      <c r="K249" s="320">
        <f t="shared" si="197"/>
        <v>1500</v>
      </c>
      <c r="L249" s="312">
        <f t="shared" si="197"/>
        <v>0</v>
      </c>
      <c r="M249" s="312">
        <f t="shared" si="197"/>
        <v>125</v>
      </c>
      <c r="N249" s="312">
        <f t="shared" si="197"/>
        <v>3770.0650000000001</v>
      </c>
      <c r="O249" s="312">
        <f t="shared" si="197"/>
        <v>0</v>
      </c>
      <c r="P249" s="312">
        <f t="shared" si="197"/>
        <v>290.005</v>
      </c>
      <c r="Q249" s="312">
        <f t="shared" si="197"/>
        <v>0</v>
      </c>
      <c r="R249" s="312">
        <f t="shared" si="197"/>
        <v>0</v>
      </c>
      <c r="S249" s="312">
        <f>SUM(S244:S248)+0.01</f>
        <v>3648.46</v>
      </c>
      <c r="T249" s="312">
        <f>SUM(T244:T248)+0.01</f>
        <v>280.65999999999997</v>
      </c>
      <c r="U249" s="312">
        <f>SUM(U244:U248)</f>
        <v>0</v>
      </c>
      <c r="V249" s="312">
        <f>SUM(V244:V248)</f>
        <v>0</v>
      </c>
      <c r="W249" s="312">
        <f>SUM(W244:W248)</f>
        <v>7418.5250000000005</v>
      </c>
      <c r="X249" s="312">
        <f>SUM(X244:X248)</f>
        <v>486.46</v>
      </c>
      <c r="Y249" s="312">
        <f>SUM(Y244:Y248)</f>
        <v>37.42</v>
      </c>
      <c r="Z249" s="325"/>
      <c r="AA249" s="325"/>
      <c r="AB249" s="324"/>
      <c r="AC249" s="325"/>
      <c r="AD249" s="324"/>
      <c r="AE249" s="307"/>
      <c r="AF249" s="325"/>
      <c r="AG249" s="325"/>
      <c r="AH249" s="325"/>
      <c r="AI249" s="325"/>
      <c r="AJ249" s="324"/>
    </row>
    <row r="250" spans="1:36" ht="36.75" customHeight="1">
      <c r="A250" s="55">
        <f>A248+1</f>
        <v>196</v>
      </c>
      <c r="B250" s="334" t="s">
        <v>670</v>
      </c>
      <c r="C250" s="107" t="s">
        <v>710</v>
      </c>
      <c r="D250" s="313" t="s">
        <v>762</v>
      </c>
      <c r="E250" s="314" t="s">
        <v>306</v>
      </c>
      <c r="F250" s="315">
        <v>700</v>
      </c>
      <c r="G250" s="316">
        <f>F250*12</f>
        <v>8400</v>
      </c>
      <c r="H250" s="316">
        <v>60</v>
      </c>
      <c r="I250" s="323"/>
      <c r="J250" s="316">
        <f>F250</f>
        <v>700</v>
      </c>
      <c r="K250" s="316">
        <v>300</v>
      </c>
      <c r="L250" s="324"/>
      <c r="M250" s="307"/>
      <c r="N250" s="307">
        <f>F250*0.0775*13</f>
        <v>705.25</v>
      </c>
      <c r="O250" s="321"/>
      <c r="P250" s="307">
        <f>N250/13</f>
        <v>54.25</v>
      </c>
      <c r="Q250" s="307"/>
      <c r="R250" s="307"/>
      <c r="S250" s="307">
        <f>F250*0.075*13</f>
        <v>682.5</v>
      </c>
      <c r="T250" s="307">
        <f>S250/13</f>
        <v>52.5</v>
      </c>
      <c r="U250" s="307"/>
      <c r="V250" s="307"/>
      <c r="W250" s="307">
        <f>N250+Q250+S250+U250</f>
        <v>1387.75</v>
      </c>
      <c r="X250" s="307">
        <f>F250*0.01*13</f>
        <v>91</v>
      </c>
      <c r="Y250" s="307">
        <f>X250/13</f>
        <v>7</v>
      </c>
      <c r="Z250" s="325"/>
      <c r="AA250" s="325"/>
      <c r="AB250" s="324"/>
      <c r="AC250" s="325"/>
      <c r="AD250" s="324"/>
      <c r="AE250" s="307"/>
      <c r="AF250" s="325"/>
      <c r="AG250" s="325"/>
      <c r="AH250" s="325"/>
      <c r="AI250" s="325"/>
      <c r="AJ250" s="324"/>
    </row>
    <row r="251" spans="1:36" ht="37.5" customHeight="1">
      <c r="A251" s="55">
        <f>A250+1</f>
        <v>197</v>
      </c>
      <c r="B251" s="336" t="s">
        <v>162</v>
      </c>
      <c r="C251" s="107" t="s">
        <v>710</v>
      </c>
      <c r="D251" s="313" t="s">
        <v>762</v>
      </c>
      <c r="E251" s="314" t="s">
        <v>306</v>
      </c>
      <c r="F251" s="315">
        <v>500</v>
      </c>
      <c r="G251" s="316">
        <f>F251*12</f>
        <v>6000</v>
      </c>
      <c r="H251" s="316">
        <v>60</v>
      </c>
      <c r="I251" s="323"/>
      <c r="J251" s="316">
        <f>F251</f>
        <v>500</v>
      </c>
      <c r="K251" s="316">
        <v>300</v>
      </c>
      <c r="L251" s="324"/>
      <c r="M251" s="307"/>
      <c r="N251" s="307">
        <f>F251*0.0775*13</f>
        <v>503.75</v>
      </c>
      <c r="O251" s="321"/>
      <c r="P251" s="307">
        <f>N251/13</f>
        <v>38.75</v>
      </c>
      <c r="Q251" s="307"/>
      <c r="R251" s="307"/>
      <c r="S251" s="307">
        <f>F251*0.075*13</f>
        <v>487.5</v>
      </c>
      <c r="T251" s="307">
        <f>S251/13</f>
        <v>37.5</v>
      </c>
      <c r="U251" s="307"/>
      <c r="V251" s="307"/>
      <c r="W251" s="307">
        <f>N251+Q251+S251+U251</f>
        <v>991.25</v>
      </c>
      <c r="X251" s="307">
        <f>F251*0.01*13</f>
        <v>65</v>
      </c>
      <c r="Y251" s="307">
        <f>X251/13</f>
        <v>5</v>
      </c>
      <c r="Z251" s="325"/>
      <c r="AA251" s="325"/>
      <c r="AB251" s="324"/>
      <c r="AC251" s="325"/>
      <c r="AD251" s="324"/>
      <c r="AE251" s="307"/>
      <c r="AF251" s="325"/>
      <c r="AG251" s="325"/>
      <c r="AH251" s="325"/>
      <c r="AI251" s="325"/>
      <c r="AJ251" s="324"/>
    </row>
    <row r="252" spans="1:36" ht="37.5" customHeight="1">
      <c r="A252" s="55">
        <f t="shared" ref="A252:A254" si="198">A251+1</f>
        <v>198</v>
      </c>
      <c r="B252" s="335" t="s">
        <v>711</v>
      </c>
      <c r="C252" s="107" t="s">
        <v>710</v>
      </c>
      <c r="D252" s="313" t="s">
        <v>762</v>
      </c>
      <c r="E252" s="314" t="s">
        <v>306</v>
      </c>
      <c r="F252" s="315">
        <v>417</v>
      </c>
      <c r="G252" s="316">
        <f>F252*12</f>
        <v>5004</v>
      </c>
      <c r="H252" s="316">
        <v>60</v>
      </c>
      <c r="I252" s="323"/>
      <c r="J252" s="316">
        <f>F252</f>
        <v>417</v>
      </c>
      <c r="K252" s="316">
        <v>300</v>
      </c>
      <c r="L252" s="324"/>
      <c r="M252" s="307"/>
      <c r="N252" s="307">
        <f>F252*0.0775*13</f>
        <v>420.12750000000005</v>
      </c>
      <c r="O252" s="307"/>
      <c r="P252" s="307">
        <f>N252/13</f>
        <v>32.317500000000003</v>
      </c>
      <c r="Q252" s="307"/>
      <c r="R252" s="307"/>
      <c r="S252" s="307">
        <f>F252*0.075*13</f>
        <v>406.57499999999999</v>
      </c>
      <c r="T252" s="307">
        <f>S252/13</f>
        <v>31.274999999999999</v>
      </c>
      <c r="U252" s="307"/>
      <c r="V252" s="307"/>
      <c r="W252" s="307">
        <f>N252+Q252+S252+U252+0.01</f>
        <v>826.71250000000009</v>
      </c>
      <c r="X252" s="307">
        <f>F252*0.01*13</f>
        <v>54.21</v>
      </c>
      <c r="Y252" s="307">
        <f>X252/13</f>
        <v>4.17</v>
      </c>
      <c r="Z252" s="325"/>
      <c r="AA252" s="325"/>
      <c r="AB252" s="324"/>
      <c r="AC252" s="325"/>
      <c r="AD252" s="324"/>
      <c r="AE252" s="307"/>
      <c r="AF252" s="325"/>
      <c r="AG252" s="325"/>
      <c r="AH252" s="325"/>
      <c r="AI252" s="325"/>
      <c r="AJ252" s="324"/>
    </row>
    <row r="253" spans="1:36" ht="39.75" customHeight="1">
      <c r="A253" s="55">
        <f t="shared" si="198"/>
        <v>199</v>
      </c>
      <c r="B253" s="212" t="s">
        <v>711</v>
      </c>
      <c r="C253" s="107" t="s">
        <v>710</v>
      </c>
      <c r="D253" s="313" t="s">
        <v>762</v>
      </c>
      <c r="E253" s="314" t="s">
        <v>306</v>
      </c>
      <c r="F253" s="315">
        <v>417</v>
      </c>
      <c r="G253" s="316">
        <f>F253*12</f>
        <v>5004</v>
      </c>
      <c r="H253" s="316">
        <v>60</v>
      </c>
      <c r="I253" s="323"/>
      <c r="J253" s="316">
        <f>F253</f>
        <v>417</v>
      </c>
      <c r="K253" s="316">
        <v>300</v>
      </c>
      <c r="L253" s="324"/>
      <c r="M253" s="307"/>
      <c r="N253" s="307">
        <f>F253*0.0775*13</f>
        <v>420.12750000000005</v>
      </c>
      <c r="O253" s="307"/>
      <c r="P253" s="307">
        <f>N253/13</f>
        <v>32.317500000000003</v>
      </c>
      <c r="Q253" s="307"/>
      <c r="R253" s="307"/>
      <c r="S253" s="307">
        <f>F253*0.075*13</f>
        <v>406.57499999999999</v>
      </c>
      <c r="T253" s="307">
        <f>S253/13</f>
        <v>31.274999999999999</v>
      </c>
      <c r="U253" s="307"/>
      <c r="V253" s="307"/>
      <c r="W253" s="307">
        <f t="shared" ref="W253:W254" si="199">N253+Q253+S253+U253+0.01</f>
        <v>826.71250000000009</v>
      </c>
      <c r="X253" s="307">
        <f>F253*0.01*13</f>
        <v>54.21</v>
      </c>
      <c r="Y253" s="307">
        <f>X253/13</f>
        <v>4.17</v>
      </c>
      <c r="Z253" s="325"/>
      <c r="AA253" s="325"/>
      <c r="AB253" s="324"/>
      <c r="AC253" s="325"/>
      <c r="AD253" s="324"/>
      <c r="AE253" s="307"/>
      <c r="AF253" s="325"/>
      <c r="AG253" s="325"/>
      <c r="AH253" s="325"/>
      <c r="AI253" s="325"/>
      <c r="AJ253" s="324"/>
    </row>
    <row r="254" spans="1:36" ht="39" customHeight="1">
      <c r="A254" s="55">
        <f t="shared" si="198"/>
        <v>200</v>
      </c>
      <c r="B254" s="335" t="s">
        <v>711</v>
      </c>
      <c r="C254" s="107" t="s">
        <v>710</v>
      </c>
      <c r="D254" s="313" t="s">
        <v>762</v>
      </c>
      <c r="E254" s="314" t="s">
        <v>306</v>
      </c>
      <c r="F254" s="315">
        <v>417</v>
      </c>
      <c r="G254" s="316">
        <f>F254*12</f>
        <v>5004</v>
      </c>
      <c r="H254" s="316">
        <v>60</v>
      </c>
      <c r="I254" s="323"/>
      <c r="J254" s="316">
        <f>F254</f>
        <v>417</v>
      </c>
      <c r="K254" s="316">
        <v>300</v>
      </c>
      <c r="L254" s="324"/>
      <c r="M254" s="307"/>
      <c r="N254" s="307">
        <f>F254*0.0775*13</f>
        <v>420.12750000000005</v>
      </c>
      <c r="O254" s="307"/>
      <c r="P254" s="307">
        <f>N254/13</f>
        <v>32.317500000000003</v>
      </c>
      <c r="Q254" s="307"/>
      <c r="R254" s="307"/>
      <c r="S254" s="307">
        <f>F254*0.075*13</f>
        <v>406.57499999999999</v>
      </c>
      <c r="T254" s="307">
        <f>S254/13</f>
        <v>31.274999999999999</v>
      </c>
      <c r="U254" s="307"/>
      <c r="V254" s="307"/>
      <c r="W254" s="307">
        <f t="shared" si="199"/>
        <v>826.71250000000009</v>
      </c>
      <c r="X254" s="307">
        <f>F254*0.01*13</f>
        <v>54.21</v>
      </c>
      <c r="Y254" s="307">
        <f>X254/13</f>
        <v>4.17</v>
      </c>
      <c r="Z254" s="325"/>
      <c r="AA254" s="325"/>
      <c r="AB254" s="324"/>
      <c r="AC254" s="325"/>
      <c r="AD254" s="324"/>
      <c r="AE254" s="307"/>
      <c r="AF254" s="325"/>
      <c r="AG254" s="325"/>
      <c r="AH254" s="325"/>
      <c r="AI254" s="325"/>
      <c r="AJ254" s="324"/>
    </row>
    <row r="255" spans="1:36" ht="23.25" customHeight="1">
      <c r="A255" s="21"/>
      <c r="B255" s="453" t="s">
        <v>779</v>
      </c>
      <c r="C255" s="454"/>
      <c r="D255" s="454"/>
      <c r="E255" s="455"/>
      <c r="F255" s="319">
        <f>SUM(F250:F254)</f>
        <v>2451</v>
      </c>
      <c r="G255" s="320">
        <f t="shared" ref="G255:R255" si="200">SUM(G250:G254)</f>
        <v>29412</v>
      </c>
      <c r="H255" s="320">
        <f t="shared" si="200"/>
        <v>300</v>
      </c>
      <c r="I255" s="320">
        <f t="shared" si="200"/>
        <v>0</v>
      </c>
      <c r="J255" s="320">
        <f t="shared" si="200"/>
        <v>2451</v>
      </c>
      <c r="K255" s="320">
        <f t="shared" si="200"/>
        <v>1500</v>
      </c>
      <c r="L255" s="312">
        <f t="shared" si="200"/>
        <v>0</v>
      </c>
      <c r="M255" s="312">
        <f t="shared" si="200"/>
        <v>0</v>
      </c>
      <c r="N255" s="312">
        <f>SUM(N250:N254)+0.01</f>
        <v>2469.3925000000004</v>
      </c>
      <c r="O255" s="312">
        <f t="shared" si="200"/>
        <v>0</v>
      </c>
      <c r="P255" s="312">
        <f>SUM(P250:P254)+0.01</f>
        <v>189.96249999999998</v>
      </c>
      <c r="Q255" s="312">
        <f t="shared" si="200"/>
        <v>0</v>
      </c>
      <c r="R255" s="312">
        <f t="shared" si="200"/>
        <v>0</v>
      </c>
      <c r="S255" s="312">
        <f>SUM(S250:S254)+0.01</f>
        <v>2389.7350000000001</v>
      </c>
      <c r="T255" s="312">
        <f>SUM(T250:T254)+0.01</f>
        <v>183.83500000000001</v>
      </c>
      <c r="U255" s="312">
        <f>SUM(U250:U254)</f>
        <v>0</v>
      </c>
      <c r="V255" s="312">
        <f>SUM(V250:V254)</f>
        <v>0</v>
      </c>
      <c r="W255" s="312">
        <f>SUM(W250:W254)-0.01</f>
        <v>4859.1275000000005</v>
      </c>
      <c r="X255" s="312">
        <f>SUM(X250:X254)</f>
        <v>318.63</v>
      </c>
      <c r="Y255" s="312">
        <f>SUM(Y250:Y254)</f>
        <v>24.510000000000005</v>
      </c>
      <c r="Z255" s="325"/>
      <c r="AA255" s="325"/>
      <c r="AB255" s="324"/>
      <c r="AC255" s="325"/>
      <c r="AD255" s="324"/>
      <c r="AE255" s="307"/>
      <c r="AF255" s="325"/>
      <c r="AG255" s="325"/>
      <c r="AH255" s="325"/>
      <c r="AI255" s="325"/>
      <c r="AJ255" s="324"/>
    </row>
    <row r="256" spans="1:36" ht="35.25" customHeight="1">
      <c r="A256" s="55">
        <f>A254+1</f>
        <v>201</v>
      </c>
      <c r="B256" s="372" t="s">
        <v>789</v>
      </c>
      <c r="C256" s="364" t="s">
        <v>669</v>
      </c>
      <c r="D256" s="313" t="s">
        <v>762</v>
      </c>
      <c r="E256" s="314" t="s">
        <v>306</v>
      </c>
      <c r="F256" s="315">
        <v>547</v>
      </c>
      <c r="G256" s="316">
        <f>F256*12</f>
        <v>6564</v>
      </c>
      <c r="H256" s="316">
        <v>60</v>
      </c>
      <c r="I256" s="323"/>
      <c r="J256" s="316">
        <f>F256</f>
        <v>547</v>
      </c>
      <c r="K256" s="316">
        <v>300</v>
      </c>
      <c r="L256" s="324"/>
      <c r="M256" s="307"/>
      <c r="N256" s="307">
        <f>F256*0.0775*13</f>
        <v>551.10249999999996</v>
      </c>
      <c r="O256" s="321"/>
      <c r="P256" s="307">
        <f>N256/13</f>
        <v>42.392499999999998</v>
      </c>
      <c r="Q256" s="307"/>
      <c r="R256" s="307"/>
      <c r="S256" s="307">
        <f>F256*0.075*13</f>
        <v>533.32499999999993</v>
      </c>
      <c r="T256" s="307">
        <f>S256/13</f>
        <v>41.024999999999991</v>
      </c>
      <c r="U256" s="307"/>
      <c r="V256" s="307"/>
      <c r="W256" s="307">
        <f>N256+Q256+S256+U256</f>
        <v>1084.4274999999998</v>
      </c>
      <c r="X256" s="307">
        <f>F256*0.01*13</f>
        <v>71.11</v>
      </c>
      <c r="Y256" s="307">
        <f>X256/13</f>
        <v>5.47</v>
      </c>
      <c r="Z256" s="325"/>
      <c r="AA256" s="325"/>
      <c r="AB256" s="324"/>
      <c r="AC256" s="325"/>
      <c r="AD256" s="324"/>
      <c r="AE256" s="307"/>
      <c r="AF256" s="325"/>
      <c r="AG256" s="325"/>
      <c r="AH256" s="325"/>
      <c r="AI256" s="325"/>
      <c r="AJ256" s="324"/>
    </row>
    <row r="257" spans="1:36" ht="37.5" customHeight="1">
      <c r="A257" s="55">
        <f>A256+1</f>
        <v>202</v>
      </c>
      <c r="B257" s="372" t="s">
        <v>91</v>
      </c>
      <c r="C257" s="364" t="s">
        <v>669</v>
      </c>
      <c r="D257" s="313" t="s">
        <v>762</v>
      </c>
      <c r="E257" s="314" t="s">
        <v>306</v>
      </c>
      <c r="F257" s="315">
        <v>417</v>
      </c>
      <c r="G257" s="316">
        <f>F257*12</f>
        <v>5004</v>
      </c>
      <c r="H257" s="316">
        <v>60</v>
      </c>
      <c r="I257" s="316"/>
      <c r="J257" s="316">
        <f>F257</f>
        <v>417</v>
      </c>
      <c r="K257" s="316">
        <v>300</v>
      </c>
      <c r="L257" s="307"/>
      <c r="M257" s="307"/>
      <c r="N257" s="307"/>
      <c r="O257" s="307"/>
      <c r="P257" s="307"/>
      <c r="Q257" s="307"/>
      <c r="R257" s="307"/>
      <c r="S257" s="307">
        <f>F257*0.075*13</f>
        <v>406.57499999999999</v>
      </c>
      <c r="T257" s="307">
        <f>S257/13</f>
        <v>31.274999999999999</v>
      </c>
      <c r="U257" s="307">
        <f>F257*0.06*13</f>
        <v>325.26</v>
      </c>
      <c r="V257" s="307">
        <v>34.32</v>
      </c>
      <c r="W257" s="307">
        <f>N257+Q257+S257+U257</f>
        <v>731.83500000000004</v>
      </c>
      <c r="X257" s="307">
        <f>F257*0.01*13</f>
        <v>54.21</v>
      </c>
      <c r="Y257" s="307">
        <f>X257/13</f>
        <v>4.17</v>
      </c>
      <c r="Z257" s="307"/>
      <c r="AA257" s="307"/>
      <c r="AB257" s="307"/>
      <c r="AC257" s="307"/>
      <c r="AD257" s="307"/>
      <c r="AE257" s="307"/>
      <c r="AF257" s="307"/>
      <c r="AG257" s="307"/>
      <c r="AH257" s="307"/>
      <c r="AI257" s="307"/>
      <c r="AJ257" s="307"/>
    </row>
    <row r="258" spans="1:36" ht="36.75" customHeight="1">
      <c r="A258" s="55">
        <f t="shared" ref="A258:A260" si="201">A257+1</f>
        <v>203</v>
      </c>
      <c r="B258" s="372" t="s">
        <v>91</v>
      </c>
      <c r="C258" s="364" t="s">
        <v>669</v>
      </c>
      <c r="D258" s="313" t="s">
        <v>762</v>
      </c>
      <c r="E258" s="314" t="s">
        <v>306</v>
      </c>
      <c r="F258" s="315">
        <v>417</v>
      </c>
      <c r="G258" s="316">
        <f>F258*12</f>
        <v>5004</v>
      </c>
      <c r="H258" s="316">
        <v>60</v>
      </c>
      <c r="I258" s="323"/>
      <c r="J258" s="316">
        <f>F258</f>
        <v>417</v>
      </c>
      <c r="K258" s="316">
        <v>300</v>
      </c>
      <c r="L258" s="324"/>
      <c r="M258" s="307"/>
      <c r="N258" s="307">
        <f>F258*0.0775*13</f>
        <v>420.12750000000005</v>
      </c>
      <c r="O258" s="321"/>
      <c r="P258" s="307">
        <f>N258/13</f>
        <v>32.317500000000003</v>
      </c>
      <c r="Q258" s="307"/>
      <c r="R258" s="307"/>
      <c r="S258" s="307">
        <f>F258*0.075*13</f>
        <v>406.57499999999999</v>
      </c>
      <c r="T258" s="307">
        <f>S258/13</f>
        <v>31.274999999999999</v>
      </c>
      <c r="U258" s="307"/>
      <c r="V258" s="307"/>
      <c r="W258" s="307">
        <f>N258+Q258+S258+U258+0.01</f>
        <v>826.71250000000009</v>
      </c>
      <c r="X258" s="307">
        <f>F258*0.01*13</f>
        <v>54.21</v>
      </c>
      <c r="Y258" s="307">
        <f>X258/13</f>
        <v>4.17</v>
      </c>
      <c r="Z258" s="325"/>
      <c r="AA258" s="325"/>
      <c r="AB258" s="324"/>
      <c r="AC258" s="325"/>
      <c r="AD258" s="324"/>
      <c r="AE258" s="307"/>
      <c r="AF258" s="325"/>
      <c r="AG258" s="325"/>
      <c r="AH258" s="325"/>
      <c r="AI258" s="325"/>
      <c r="AJ258" s="324"/>
    </row>
    <row r="259" spans="1:36" ht="36" customHeight="1">
      <c r="A259" s="55">
        <f t="shared" si="201"/>
        <v>204</v>
      </c>
      <c r="B259" s="372" t="s">
        <v>91</v>
      </c>
      <c r="C259" s="364" t="s">
        <v>669</v>
      </c>
      <c r="D259" s="313" t="s">
        <v>762</v>
      </c>
      <c r="E259" s="314" t="s">
        <v>306</v>
      </c>
      <c r="F259" s="315">
        <v>417</v>
      </c>
      <c r="G259" s="316">
        <f>F259*12</f>
        <v>5004</v>
      </c>
      <c r="H259" s="316">
        <v>60</v>
      </c>
      <c r="I259" s="323"/>
      <c r="J259" s="316">
        <f>F259</f>
        <v>417</v>
      </c>
      <c r="K259" s="316">
        <v>300</v>
      </c>
      <c r="L259" s="324"/>
      <c r="M259" s="307"/>
      <c r="N259" s="307">
        <f>F259*0.0775*13</f>
        <v>420.12750000000005</v>
      </c>
      <c r="O259" s="321"/>
      <c r="P259" s="307">
        <f>N259/13</f>
        <v>32.317500000000003</v>
      </c>
      <c r="Q259" s="307"/>
      <c r="R259" s="307"/>
      <c r="S259" s="307">
        <f>F259*0.075*13</f>
        <v>406.57499999999999</v>
      </c>
      <c r="T259" s="307">
        <f>S259/13</f>
        <v>31.274999999999999</v>
      </c>
      <c r="U259" s="307"/>
      <c r="V259" s="307"/>
      <c r="W259" s="307">
        <f>N259+Q259+S259+U259+0.01</f>
        <v>826.71250000000009</v>
      </c>
      <c r="X259" s="307">
        <f>F259*0.01*13</f>
        <v>54.21</v>
      </c>
      <c r="Y259" s="307">
        <f>X259/13</f>
        <v>4.17</v>
      </c>
      <c r="Z259" s="325"/>
      <c r="AA259" s="325"/>
      <c r="AB259" s="324"/>
      <c r="AC259" s="325"/>
      <c r="AD259" s="324"/>
      <c r="AE259" s="307"/>
      <c r="AF259" s="325"/>
      <c r="AG259" s="325"/>
      <c r="AH259" s="325"/>
      <c r="AI259" s="325"/>
      <c r="AJ259" s="324"/>
    </row>
    <row r="260" spans="1:36" ht="36" customHeight="1">
      <c r="A260" s="55">
        <f t="shared" si="201"/>
        <v>205</v>
      </c>
      <c r="B260" s="373" t="s">
        <v>793</v>
      </c>
      <c r="C260" s="364" t="s">
        <v>669</v>
      </c>
      <c r="D260" s="313" t="s">
        <v>79</v>
      </c>
      <c r="E260" s="314" t="s">
        <v>306</v>
      </c>
      <c r="F260" s="315">
        <v>652</v>
      </c>
      <c r="G260" s="316">
        <f>F260*12</f>
        <v>7824</v>
      </c>
      <c r="H260" s="316">
        <v>60</v>
      </c>
      <c r="I260" s="323"/>
      <c r="J260" s="316">
        <f>F260</f>
        <v>652</v>
      </c>
      <c r="K260" s="316">
        <v>300</v>
      </c>
      <c r="L260" s="324"/>
      <c r="M260" s="307"/>
      <c r="N260" s="307"/>
      <c r="O260" s="321"/>
      <c r="P260" s="307"/>
      <c r="Q260" s="307"/>
      <c r="R260" s="307"/>
      <c r="S260" s="307">
        <f>F260*0.075*13</f>
        <v>635.69999999999993</v>
      </c>
      <c r="T260" s="307">
        <f>S260/13</f>
        <v>48.899999999999991</v>
      </c>
      <c r="U260" s="307">
        <f>F260*0.06*13</f>
        <v>508.55999999999995</v>
      </c>
      <c r="V260" s="307">
        <v>34.32</v>
      </c>
      <c r="W260" s="307">
        <f>N260+Q260+S260+U260</f>
        <v>1144.2599999999998</v>
      </c>
      <c r="X260" s="307">
        <f>F260*0.01*13</f>
        <v>84.76</v>
      </c>
      <c r="Y260" s="307">
        <f>X260/13</f>
        <v>6.5200000000000005</v>
      </c>
      <c r="Z260" s="325"/>
      <c r="AA260" s="325"/>
      <c r="AB260" s="324"/>
      <c r="AC260" s="325"/>
      <c r="AD260" s="324"/>
      <c r="AE260" s="307"/>
      <c r="AF260" s="325"/>
      <c r="AG260" s="325"/>
      <c r="AH260" s="325"/>
      <c r="AI260" s="325"/>
      <c r="AJ260" s="324"/>
    </row>
    <row r="261" spans="1:36">
      <c r="A261" s="21"/>
      <c r="B261" s="138" t="s">
        <v>764</v>
      </c>
      <c r="C261" s="107"/>
      <c r="D261" s="313"/>
      <c r="E261" s="314"/>
      <c r="F261" s="319">
        <f>SUM(F256:F260)</f>
        <v>2450</v>
      </c>
      <c r="G261" s="319">
        <f t="shared" ref="G261:AJ261" si="202">SUM(G256:G260)</f>
        <v>29400</v>
      </c>
      <c r="H261" s="319">
        <f t="shared" si="202"/>
        <v>300</v>
      </c>
      <c r="I261" s="319">
        <f t="shared" si="202"/>
        <v>0</v>
      </c>
      <c r="J261" s="319">
        <f t="shared" si="202"/>
        <v>2450</v>
      </c>
      <c r="K261" s="319">
        <f t="shared" si="202"/>
        <v>1500</v>
      </c>
      <c r="L261" s="319">
        <f t="shared" si="202"/>
        <v>0</v>
      </c>
      <c r="M261" s="319">
        <f t="shared" si="202"/>
        <v>0</v>
      </c>
      <c r="N261" s="319">
        <f t="shared" si="202"/>
        <v>1391.3575000000001</v>
      </c>
      <c r="O261" s="319">
        <f t="shared" si="202"/>
        <v>0</v>
      </c>
      <c r="P261" s="319">
        <f t="shared" si="202"/>
        <v>107.0275</v>
      </c>
      <c r="Q261" s="319">
        <f t="shared" si="202"/>
        <v>0</v>
      </c>
      <c r="R261" s="319">
        <f t="shared" si="202"/>
        <v>0</v>
      </c>
      <c r="S261" s="319">
        <f>SUM(S256:S260)+0.02</f>
        <v>2388.77</v>
      </c>
      <c r="T261" s="319">
        <f t="shared" si="202"/>
        <v>183.75</v>
      </c>
      <c r="U261" s="319">
        <f t="shared" si="202"/>
        <v>833.81999999999994</v>
      </c>
      <c r="V261" s="319">
        <f t="shared" si="202"/>
        <v>68.64</v>
      </c>
      <c r="W261" s="319">
        <f t="shared" si="202"/>
        <v>4613.9475000000002</v>
      </c>
      <c r="X261" s="319">
        <f t="shared" si="202"/>
        <v>318.5</v>
      </c>
      <c r="Y261" s="319">
        <f t="shared" si="202"/>
        <v>24.5</v>
      </c>
      <c r="Z261" s="319">
        <f t="shared" si="202"/>
        <v>0</v>
      </c>
      <c r="AA261" s="319">
        <f t="shared" si="202"/>
        <v>0</v>
      </c>
      <c r="AB261" s="319">
        <f t="shared" si="202"/>
        <v>0</v>
      </c>
      <c r="AC261" s="319">
        <f t="shared" si="202"/>
        <v>0</v>
      </c>
      <c r="AD261" s="319">
        <f t="shared" si="202"/>
        <v>0</v>
      </c>
      <c r="AE261" s="319">
        <f t="shared" si="202"/>
        <v>0</v>
      </c>
      <c r="AF261" s="319">
        <f t="shared" si="202"/>
        <v>0</v>
      </c>
      <c r="AG261" s="319">
        <f t="shared" si="202"/>
        <v>0</v>
      </c>
      <c r="AH261" s="319">
        <f t="shared" si="202"/>
        <v>0</v>
      </c>
      <c r="AI261" s="319">
        <f t="shared" si="202"/>
        <v>0</v>
      </c>
      <c r="AJ261" s="319">
        <f t="shared" si="202"/>
        <v>0</v>
      </c>
    </row>
    <row r="262" spans="1:36" ht="20.25" customHeight="1">
      <c r="A262" s="55">
        <f>A260+1</f>
        <v>206</v>
      </c>
      <c r="B262" s="344" t="s">
        <v>629</v>
      </c>
      <c r="C262" s="107" t="s">
        <v>712</v>
      </c>
      <c r="D262" s="313" t="s">
        <v>762</v>
      </c>
      <c r="E262" s="314" t="s">
        <v>306</v>
      </c>
      <c r="F262" s="315">
        <v>900</v>
      </c>
      <c r="G262" s="316">
        <f>F262*12</f>
        <v>10800</v>
      </c>
      <c r="H262" s="316">
        <v>60</v>
      </c>
      <c r="I262" s="316">
        <v>5000</v>
      </c>
      <c r="J262" s="316">
        <f>F262</f>
        <v>900</v>
      </c>
      <c r="K262" s="316">
        <v>300</v>
      </c>
      <c r="L262" s="315"/>
      <c r="M262" s="315"/>
      <c r="N262" s="315">
        <f>F262*0.0775*13</f>
        <v>906.75</v>
      </c>
      <c r="O262" s="315">
        <f>N262/13</f>
        <v>69.75</v>
      </c>
      <c r="P262" s="315"/>
      <c r="Q262" s="315"/>
      <c r="R262" s="315"/>
      <c r="S262" s="315">
        <f>F262*0.075*13</f>
        <v>877.5</v>
      </c>
      <c r="T262" s="315">
        <f>S262/13</f>
        <v>67.5</v>
      </c>
      <c r="U262" s="315"/>
      <c r="V262" s="315"/>
      <c r="W262" s="315">
        <f>N262+Q262+S262+U262</f>
        <v>1784.25</v>
      </c>
      <c r="X262" s="315">
        <f>F262*0.01*13</f>
        <v>117</v>
      </c>
      <c r="Y262" s="315">
        <f>X262/13</f>
        <v>9</v>
      </c>
      <c r="Z262" s="315"/>
      <c r="AA262" s="315"/>
      <c r="AB262" s="315"/>
      <c r="AC262" s="315"/>
      <c r="AD262" s="315"/>
      <c r="AE262" s="315"/>
      <c r="AF262" s="307"/>
      <c r="AG262" s="307"/>
      <c r="AH262" s="307"/>
      <c r="AI262" s="307"/>
      <c r="AJ262" s="307"/>
    </row>
    <row r="263" spans="1:36" ht="20.25" customHeight="1">
      <c r="A263" s="21">
        <f>A262+1</f>
        <v>207</v>
      </c>
      <c r="B263" s="336" t="s">
        <v>162</v>
      </c>
      <c r="C263" s="107" t="s">
        <v>712</v>
      </c>
      <c r="D263" s="313" t="s">
        <v>762</v>
      </c>
      <c r="E263" s="314" t="s">
        <v>306</v>
      </c>
      <c r="F263" s="315">
        <v>500</v>
      </c>
      <c r="G263" s="316">
        <f>F263*12</f>
        <v>6000</v>
      </c>
      <c r="H263" s="316">
        <v>60</v>
      </c>
      <c r="I263" s="316"/>
      <c r="J263" s="316">
        <f>F263</f>
        <v>500</v>
      </c>
      <c r="K263" s="316">
        <v>300</v>
      </c>
      <c r="L263" s="307"/>
      <c r="M263" s="307"/>
      <c r="N263" s="307">
        <f>F263*0.0775*13</f>
        <v>503.75</v>
      </c>
      <c r="O263" s="315">
        <f>N263/13</f>
        <v>38.75</v>
      </c>
      <c r="P263" s="307"/>
      <c r="Q263" s="307"/>
      <c r="R263" s="307"/>
      <c r="S263" s="307">
        <f>F263*0.075*13</f>
        <v>487.5</v>
      </c>
      <c r="T263" s="307">
        <f>S263/13</f>
        <v>37.5</v>
      </c>
      <c r="U263" s="307"/>
      <c r="V263" s="307"/>
      <c r="W263" s="307">
        <f>N263+Q263+S263+U263</f>
        <v>991.25</v>
      </c>
      <c r="X263" s="307">
        <f>F263*0.01*13</f>
        <v>65</v>
      </c>
      <c r="Y263" s="307">
        <f>X263/13</f>
        <v>5</v>
      </c>
      <c r="Z263" s="307"/>
      <c r="AA263" s="307"/>
      <c r="AB263" s="307"/>
      <c r="AC263" s="307"/>
      <c r="AD263" s="307"/>
      <c r="AE263" s="307"/>
      <c r="AF263" s="307"/>
      <c r="AG263" s="307"/>
      <c r="AH263" s="307"/>
      <c r="AI263" s="307"/>
      <c r="AJ263" s="307"/>
    </row>
    <row r="264" spans="1:36" ht="20.25" customHeight="1">
      <c r="A264" s="21">
        <f>A263+1</f>
        <v>208</v>
      </c>
      <c r="B264" s="376" t="s">
        <v>791</v>
      </c>
      <c r="C264" s="107" t="s">
        <v>712</v>
      </c>
      <c r="D264" s="313" t="s">
        <v>759</v>
      </c>
      <c r="E264" s="314" t="s">
        <v>306</v>
      </c>
      <c r="F264" s="315">
        <v>700</v>
      </c>
      <c r="G264" s="316">
        <f t="shared" ref="G264:G266" si="203">F264*12</f>
        <v>8400</v>
      </c>
      <c r="H264" s="316">
        <v>60</v>
      </c>
      <c r="I264" s="323"/>
      <c r="J264" s="316">
        <f>F264</f>
        <v>700</v>
      </c>
      <c r="K264" s="316">
        <v>300</v>
      </c>
      <c r="L264" s="324"/>
      <c r="M264" s="307"/>
      <c r="N264" s="307">
        <f>F264*0.0775*13</f>
        <v>705.25</v>
      </c>
      <c r="O264" s="307"/>
      <c r="P264" s="307">
        <f t="shared" ref="P264:P266" si="204">N264/13</f>
        <v>54.25</v>
      </c>
      <c r="Q264" s="307"/>
      <c r="R264" s="307"/>
      <c r="S264" s="307">
        <f>F264*0.075*13</f>
        <v>682.5</v>
      </c>
      <c r="T264" s="307">
        <f t="shared" ref="T264:T266" si="205">S264/13</f>
        <v>52.5</v>
      </c>
      <c r="U264" s="307"/>
      <c r="V264" s="307"/>
      <c r="W264" s="307">
        <f>N264+Q264+S264+U264</f>
        <v>1387.75</v>
      </c>
      <c r="X264" s="307">
        <f>F264*0.01*13</f>
        <v>91</v>
      </c>
      <c r="Y264" s="307">
        <f t="shared" ref="Y264:Y266" si="206">X264/13</f>
        <v>7</v>
      </c>
      <c r="Z264" s="325"/>
      <c r="AA264" s="325"/>
      <c r="AB264" s="324"/>
      <c r="AC264" s="325"/>
      <c r="AD264" s="324"/>
      <c r="AE264" s="307"/>
      <c r="AF264" s="325"/>
      <c r="AG264" s="325"/>
      <c r="AH264" s="325"/>
      <c r="AI264" s="325"/>
      <c r="AJ264" s="324"/>
    </row>
    <row r="265" spans="1:36" ht="20.25" customHeight="1">
      <c r="A265" s="21">
        <f t="shared" ref="A265:A266" si="207">A264+1</f>
        <v>209</v>
      </c>
      <c r="B265" s="334" t="s">
        <v>791</v>
      </c>
      <c r="C265" s="107" t="s">
        <v>712</v>
      </c>
      <c r="D265" s="313" t="s">
        <v>762</v>
      </c>
      <c r="E265" s="314" t="s">
        <v>306</v>
      </c>
      <c r="F265" s="315">
        <v>500</v>
      </c>
      <c r="G265" s="316">
        <f t="shared" si="203"/>
        <v>6000</v>
      </c>
      <c r="H265" s="316">
        <v>60</v>
      </c>
      <c r="I265" s="323"/>
      <c r="J265" s="316">
        <f>F265</f>
        <v>500</v>
      </c>
      <c r="K265" s="316">
        <v>300</v>
      </c>
      <c r="L265" s="324"/>
      <c r="M265" s="307"/>
      <c r="N265" s="307">
        <f>F265*0.0775*13</f>
        <v>503.75</v>
      </c>
      <c r="O265" s="307"/>
      <c r="P265" s="307">
        <f t="shared" si="204"/>
        <v>38.75</v>
      </c>
      <c r="Q265" s="307"/>
      <c r="R265" s="307"/>
      <c r="S265" s="307">
        <f>F265*0.075*13</f>
        <v>487.5</v>
      </c>
      <c r="T265" s="307">
        <f t="shared" si="205"/>
        <v>37.5</v>
      </c>
      <c r="U265" s="307"/>
      <c r="V265" s="307"/>
      <c r="W265" s="307">
        <f>N265+Q265+S265+U265</f>
        <v>991.25</v>
      </c>
      <c r="X265" s="307">
        <f>F265*0.01*13</f>
        <v>65</v>
      </c>
      <c r="Y265" s="307">
        <f t="shared" si="206"/>
        <v>5</v>
      </c>
      <c r="Z265" s="325"/>
      <c r="AA265" s="325"/>
      <c r="AB265" s="324"/>
      <c r="AC265" s="325"/>
      <c r="AD265" s="324"/>
      <c r="AE265" s="307"/>
      <c r="AF265" s="325"/>
      <c r="AG265" s="325"/>
      <c r="AH265" s="325"/>
      <c r="AI265" s="325"/>
      <c r="AJ265" s="324"/>
    </row>
    <row r="266" spans="1:36" ht="20.25" customHeight="1">
      <c r="A266" s="21">
        <f t="shared" si="207"/>
        <v>210</v>
      </c>
      <c r="B266" s="334" t="s">
        <v>686</v>
      </c>
      <c r="C266" s="107" t="s">
        <v>712</v>
      </c>
      <c r="D266" s="313" t="s">
        <v>762</v>
      </c>
      <c r="E266" s="314" t="s">
        <v>306</v>
      </c>
      <c r="F266" s="315">
        <v>417</v>
      </c>
      <c r="G266" s="316">
        <f t="shared" si="203"/>
        <v>5004</v>
      </c>
      <c r="H266" s="316">
        <v>60</v>
      </c>
      <c r="I266" s="323"/>
      <c r="J266" s="316">
        <f>F266</f>
        <v>417</v>
      </c>
      <c r="K266" s="316">
        <v>300</v>
      </c>
      <c r="L266" s="324"/>
      <c r="M266" s="307"/>
      <c r="N266" s="307">
        <f>F266*0.0775*13</f>
        <v>420.12750000000005</v>
      </c>
      <c r="O266" s="307"/>
      <c r="P266" s="307">
        <f t="shared" si="204"/>
        <v>32.317500000000003</v>
      </c>
      <c r="Q266" s="307"/>
      <c r="R266" s="307"/>
      <c r="S266" s="307">
        <f>F266*0.075*13</f>
        <v>406.57499999999999</v>
      </c>
      <c r="T266" s="307">
        <f t="shared" si="205"/>
        <v>31.274999999999999</v>
      </c>
      <c r="U266" s="307"/>
      <c r="V266" s="307"/>
      <c r="W266" s="307">
        <f t="shared" ref="W266" si="208">N266+Q266+S266+U266+0.01</f>
        <v>826.71250000000009</v>
      </c>
      <c r="X266" s="307">
        <f>F266*0.01*13</f>
        <v>54.21</v>
      </c>
      <c r="Y266" s="307">
        <f t="shared" si="206"/>
        <v>4.17</v>
      </c>
      <c r="Z266" s="325"/>
      <c r="AA266" s="325"/>
      <c r="AB266" s="324"/>
      <c r="AC266" s="325"/>
      <c r="AD266" s="324"/>
      <c r="AE266" s="307"/>
      <c r="AF266" s="325"/>
      <c r="AG266" s="325"/>
      <c r="AH266" s="325"/>
      <c r="AI266" s="325"/>
      <c r="AJ266" s="324"/>
    </row>
    <row r="267" spans="1:36">
      <c r="A267" s="21"/>
      <c r="B267" s="138" t="s">
        <v>713</v>
      </c>
      <c r="C267" s="107"/>
      <c r="D267" s="313"/>
      <c r="E267" s="314"/>
      <c r="F267" s="319">
        <f t="shared" ref="F267:Y267" si="209">SUM(F262:F266)</f>
        <v>3017</v>
      </c>
      <c r="G267" s="319">
        <f t="shared" si="209"/>
        <v>36204</v>
      </c>
      <c r="H267" s="319">
        <f t="shared" si="209"/>
        <v>300</v>
      </c>
      <c r="I267" s="319">
        <f t="shared" si="209"/>
        <v>5000</v>
      </c>
      <c r="J267" s="319">
        <f t="shared" si="209"/>
        <v>3017</v>
      </c>
      <c r="K267" s="319">
        <f t="shared" si="209"/>
        <v>1500</v>
      </c>
      <c r="L267" s="319">
        <f t="shared" si="209"/>
        <v>0</v>
      </c>
      <c r="M267" s="319">
        <f t="shared" si="209"/>
        <v>0</v>
      </c>
      <c r="N267" s="319">
        <f t="shared" si="209"/>
        <v>3039.6275000000001</v>
      </c>
      <c r="O267" s="319">
        <f t="shared" si="209"/>
        <v>108.5</v>
      </c>
      <c r="P267" s="319">
        <f t="shared" si="209"/>
        <v>125.3175</v>
      </c>
      <c r="Q267" s="319">
        <f t="shared" si="209"/>
        <v>0</v>
      </c>
      <c r="R267" s="319">
        <f t="shared" si="209"/>
        <v>0</v>
      </c>
      <c r="S267" s="319">
        <f t="shared" si="209"/>
        <v>2941.5749999999998</v>
      </c>
      <c r="T267" s="319">
        <f t="shared" si="209"/>
        <v>226.27500000000001</v>
      </c>
      <c r="U267" s="319">
        <f t="shared" si="209"/>
        <v>0</v>
      </c>
      <c r="V267" s="319">
        <f t="shared" si="209"/>
        <v>0</v>
      </c>
      <c r="W267" s="319">
        <f t="shared" si="209"/>
        <v>5981.2124999999996</v>
      </c>
      <c r="X267" s="319">
        <f t="shared" si="209"/>
        <v>392.21</v>
      </c>
      <c r="Y267" s="319">
        <f t="shared" si="209"/>
        <v>30.17</v>
      </c>
      <c r="Z267" s="325"/>
      <c r="AA267" s="325"/>
      <c r="AB267" s="324"/>
      <c r="AC267" s="325"/>
      <c r="AD267" s="324"/>
      <c r="AE267" s="307"/>
      <c r="AF267" s="325"/>
      <c r="AG267" s="325"/>
      <c r="AH267" s="325"/>
      <c r="AI267" s="325"/>
      <c r="AJ267" s="324"/>
    </row>
    <row r="268" spans="1:36" ht="22.5" customHeight="1">
      <c r="A268" s="21">
        <f>A266+1</f>
        <v>211</v>
      </c>
      <c r="B268" s="161" t="s">
        <v>790</v>
      </c>
      <c r="C268" s="107" t="s">
        <v>681</v>
      </c>
      <c r="D268" s="313" t="s">
        <v>79</v>
      </c>
      <c r="E268" s="314" t="s">
        <v>306</v>
      </c>
      <c r="F268" s="315">
        <v>700</v>
      </c>
      <c r="G268" s="316">
        <f>F268*12</f>
        <v>8400</v>
      </c>
      <c r="H268" s="316">
        <v>60</v>
      </c>
      <c r="I268" s="316"/>
      <c r="J268" s="316">
        <f>F268</f>
        <v>700</v>
      </c>
      <c r="K268" s="316">
        <v>300</v>
      </c>
      <c r="L268" s="307"/>
      <c r="M268" s="307">
        <v>125</v>
      </c>
      <c r="N268" s="307">
        <f>F268*0.0775*13</f>
        <v>705.25</v>
      </c>
      <c r="O268" s="315">
        <f>N268/13</f>
        <v>54.25</v>
      </c>
      <c r="P268" s="307"/>
      <c r="Q268" s="307"/>
      <c r="R268" s="307"/>
      <c r="S268" s="307">
        <f>F268*0.075*13</f>
        <v>682.5</v>
      </c>
      <c r="T268" s="307">
        <f>S268/13</f>
        <v>52.5</v>
      </c>
      <c r="U268" s="307"/>
      <c r="V268" s="307"/>
      <c r="W268" s="307">
        <f>N268+Q268+S268+U268</f>
        <v>1387.75</v>
      </c>
      <c r="X268" s="307">
        <f>F268*0.01*13</f>
        <v>91</v>
      </c>
      <c r="Y268" s="307">
        <f>X268/13</f>
        <v>7</v>
      </c>
      <c r="Z268" s="307"/>
      <c r="AA268" s="307"/>
      <c r="AB268" s="307"/>
      <c r="AC268" s="307"/>
      <c r="AD268" s="307"/>
      <c r="AE268" s="307"/>
      <c r="AF268" s="307"/>
      <c r="AG268" s="307"/>
      <c r="AH268" s="307"/>
      <c r="AI268" s="307"/>
      <c r="AJ268" s="307"/>
    </row>
    <row r="269" spans="1:36" ht="22.5" customHeight="1">
      <c r="A269" s="55">
        <f t="shared" ref="A269:A271" si="210">A268+1</f>
        <v>212</v>
      </c>
      <c r="B269" s="161" t="s">
        <v>162</v>
      </c>
      <c r="C269" s="107" t="s">
        <v>681</v>
      </c>
      <c r="D269" s="313" t="s">
        <v>79</v>
      </c>
      <c r="E269" s="314" t="s">
        <v>306</v>
      </c>
      <c r="F269" s="315">
        <f>497+50</f>
        <v>547</v>
      </c>
      <c r="G269" s="316">
        <f>F269*12</f>
        <v>6564</v>
      </c>
      <c r="H269" s="316">
        <v>60</v>
      </c>
      <c r="I269" s="323"/>
      <c r="J269" s="316">
        <f>F269</f>
        <v>547</v>
      </c>
      <c r="K269" s="316">
        <v>300</v>
      </c>
      <c r="L269" s="324"/>
      <c r="M269" s="307"/>
      <c r="N269" s="307">
        <f>F269*0.0775*13</f>
        <v>551.10249999999996</v>
      </c>
      <c r="O269" s="307"/>
      <c r="P269" s="307">
        <f>N269/13</f>
        <v>42.392499999999998</v>
      </c>
      <c r="Q269" s="307"/>
      <c r="R269" s="307"/>
      <c r="S269" s="307">
        <f>F269*0.075*13</f>
        <v>533.32499999999993</v>
      </c>
      <c r="T269" s="307">
        <f>S269/13</f>
        <v>41.024999999999991</v>
      </c>
      <c r="U269" s="307"/>
      <c r="V269" s="307"/>
      <c r="W269" s="307">
        <f>N269+Q269+S269+U269</f>
        <v>1084.4274999999998</v>
      </c>
      <c r="X269" s="307">
        <f>F269*0.01*13</f>
        <v>71.11</v>
      </c>
      <c r="Y269" s="307">
        <f>X269/13</f>
        <v>5.47</v>
      </c>
      <c r="Z269" s="325"/>
      <c r="AA269" s="325"/>
      <c r="AB269" s="324"/>
      <c r="AC269" s="325"/>
      <c r="AD269" s="324"/>
      <c r="AE269" s="307"/>
      <c r="AF269" s="325"/>
      <c r="AG269" s="325"/>
      <c r="AH269" s="325"/>
      <c r="AI269" s="325"/>
      <c r="AJ269" s="324"/>
    </row>
    <row r="270" spans="1:36" ht="22.5" customHeight="1">
      <c r="A270" s="55">
        <f t="shared" si="210"/>
        <v>213</v>
      </c>
      <c r="B270" s="336" t="s">
        <v>91</v>
      </c>
      <c r="C270" s="107" t="s">
        <v>681</v>
      </c>
      <c r="D270" s="313" t="s">
        <v>762</v>
      </c>
      <c r="E270" s="314" t="s">
        <v>306</v>
      </c>
      <c r="F270" s="315">
        <v>417</v>
      </c>
      <c r="G270" s="316">
        <f t="shared" ref="G270:G271" si="211">F270*12</f>
        <v>5004</v>
      </c>
      <c r="H270" s="316">
        <v>60</v>
      </c>
      <c r="I270" s="323"/>
      <c r="J270" s="316">
        <f>F270</f>
        <v>417</v>
      </c>
      <c r="K270" s="316">
        <v>300</v>
      </c>
      <c r="L270" s="324"/>
      <c r="M270" s="307"/>
      <c r="N270" s="307">
        <f>F270*0.0775*13</f>
        <v>420.12750000000005</v>
      </c>
      <c r="O270" s="307"/>
      <c r="P270" s="307">
        <f t="shared" ref="P270:P271" si="212">N270/13</f>
        <v>32.317500000000003</v>
      </c>
      <c r="Q270" s="307"/>
      <c r="R270" s="307"/>
      <c r="S270" s="307">
        <f>F270*0.075*13</f>
        <v>406.57499999999999</v>
      </c>
      <c r="T270" s="307">
        <f t="shared" ref="T270:T271" si="213">S270/13</f>
        <v>31.274999999999999</v>
      </c>
      <c r="U270" s="307"/>
      <c r="V270" s="307"/>
      <c r="W270" s="307">
        <f t="shared" ref="W270:W271" si="214">N270+Q270+S270+U270+0.01</f>
        <v>826.71250000000009</v>
      </c>
      <c r="X270" s="307">
        <f>F270*0.01*13</f>
        <v>54.21</v>
      </c>
      <c r="Y270" s="307">
        <f t="shared" ref="Y270:Y271" si="215">X270/13</f>
        <v>4.17</v>
      </c>
      <c r="Z270" s="325"/>
      <c r="AA270" s="325"/>
      <c r="AB270" s="324"/>
      <c r="AC270" s="325"/>
      <c r="AD270" s="324"/>
      <c r="AE270" s="307"/>
      <c r="AF270" s="325"/>
      <c r="AG270" s="325"/>
      <c r="AH270" s="325"/>
      <c r="AI270" s="325"/>
      <c r="AJ270" s="324"/>
    </row>
    <row r="271" spans="1:36" ht="22.5" customHeight="1">
      <c r="A271" s="55">
        <f t="shared" si="210"/>
        <v>214</v>
      </c>
      <c r="B271" s="336" t="s">
        <v>725</v>
      </c>
      <c r="C271" s="107" t="s">
        <v>681</v>
      </c>
      <c r="D271" s="313" t="s">
        <v>762</v>
      </c>
      <c r="E271" s="314" t="s">
        <v>306</v>
      </c>
      <c r="F271" s="315">
        <v>417</v>
      </c>
      <c r="G271" s="316">
        <f t="shared" si="211"/>
        <v>5004</v>
      </c>
      <c r="H271" s="316">
        <v>60</v>
      </c>
      <c r="I271" s="323"/>
      <c r="J271" s="316">
        <f>F271</f>
        <v>417</v>
      </c>
      <c r="K271" s="316">
        <v>300</v>
      </c>
      <c r="L271" s="324"/>
      <c r="M271" s="307"/>
      <c r="N271" s="307">
        <f>F271*0.0775*13</f>
        <v>420.12750000000005</v>
      </c>
      <c r="O271" s="307"/>
      <c r="P271" s="307">
        <f t="shared" si="212"/>
        <v>32.317500000000003</v>
      </c>
      <c r="Q271" s="307"/>
      <c r="R271" s="307"/>
      <c r="S271" s="307">
        <f>F271*0.075*13</f>
        <v>406.57499999999999</v>
      </c>
      <c r="T271" s="307">
        <f t="shared" si="213"/>
        <v>31.274999999999999</v>
      </c>
      <c r="U271" s="307"/>
      <c r="V271" s="307"/>
      <c r="W271" s="307">
        <f t="shared" si="214"/>
        <v>826.71250000000009</v>
      </c>
      <c r="X271" s="307">
        <f>F271*0.01*13</f>
        <v>54.21</v>
      </c>
      <c r="Y271" s="307">
        <f t="shared" si="215"/>
        <v>4.17</v>
      </c>
      <c r="Z271" s="325"/>
      <c r="AA271" s="325"/>
      <c r="AB271" s="324"/>
      <c r="AC271" s="325"/>
      <c r="AD271" s="324"/>
      <c r="AE271" s="307"/>
      <c r="AF271" s="325"/>
      <c r="AG271" s="325"/>
      <c r="AH271" s="325"/>
      <c r="AI271" s="325"/>
      <c r="AJ271" s="324"/>
    </row>
    <row r="272" spans="1:36">
      <c r="A272" s="21"/>
      <c r="B272" s="138" t="s">
        <v>654</v>
      </c>
      <c r="C272" s="107"/>
      <c r="D272" s="313"/>
      <c r="E272" s="314"/>
      <c r="F272" s="319">
        <f>SUM(F268:F271)</f>
        <v>2081</v>
      </c>
      <c r="G272" s="319">
        <f t="shared" ref="G272:Y272" si="216">SUM(G268:G271)</f>
        <v>24972</v>
      </c>
      <c r="H272" s="319">
        <f t="shared" si="216"/>
        <v>240</v>
      </c>
      <c r="I272" s="319">
        <f t="shared" si="216"/>
        <v>0</v>
      </c>
      <c r="J272" s="319">
        <f t="shared" si="216"/>
        <v>2081</v>
      </c>
      <c r="K272" s="319">
        <f t="shared" si="216"/>
        <v>1200</v>
      </c>
      <c r="L272" s="319">
        <f t="shared" si="216"/>
        <v>0</v>
      </c>
      <c r="M272" s="319">
        <f t="shared" si="216"/>
        <v>125</v>
      </c>
      <c r="N272" s="319">
        <f t="shared" si="216"/>
        <v>2096.6075000000001</v>
      </c>
      <c r="O272" s="319">
        <f t="shared" si="216"/>
        <v>54.25</v>
      </c>
      <c r="P272" s="319">
        <f t="shared" si="216"/>
        <v>107.0275</v>
      </c>
      <c r="Q272" s="319">
        <f t="shared" si="216"/>
        <v>0</v>
      </c>
      <c r="R272" s="319">
        <f t="shared" si="216"/>
        <v>0</v>
      </c>
      <c r="S272" s="319">
        <f>SUM(S268:S271)+0.01</f>
        <v>2028.9849999999999</v>
      </c>
      <c r="T272" s="319">
        <f t="shared" si="216"/>
        <v>156.07499999999999</v>
      </c>
      <c r="U272" s="319">
        <f t="shared" si="216"/>
        <v>0</v>
      </c>
      <c r="V272" s="319">
        <f t="shared" si="216"/>
        <v>0</v>
      </c>
      <c r="W272" s="319">
        <f>SUM(W268:W271)-0.01</f>
        <v>4125.5924999999997</v>
      </c>
      <c r="X272" s="319">
        <f t="shared" si="216"/>
        <v>270.53000000000003</v>
      </c>
      <c r="Y272" s="319">
        <f t="shared" si="216"/>
        <v>20.810000000000002</v>
      </c>
      <c r="Z272" s="307"/>
      <c r="AA272" s="307"/>
      <c r="AB272" s="307"/>
      <c r="AC272" s="307"/>
      <c r="AD272" s="307"/>
      <c r="AE272" s="307"/>
      <c r="AF272" s="307"/>
      <c r="AG272" s="307"/>
      <c r="AH272" s="307"/>
      <c r="AI272" s="307"/>
      <c r="AJ272" s="307"/>
    </row>
    <row r="273" spans="1:36" ht="22.5" customHeight="1">
      <c r="A273" s="55">
        <f>A271+1</f>
        <v>215</v>
      </c>
      <c r="B273" s="335" t="s">
        <v>672</v>
      </c>
      <c r="C273" s="107" t="s">
        <v>671</v>
      </c>
      <c r="D273" s="313" t="s">
        <v>762</v>
      </c>
      <c r="E273" s="314" t="s">
        <v>306</v>
      </c>
      <c r="F273" s="315">
        <v>700</v>
      </c>
      <c r="G273" s="316">
        <f>F273*12</f>
        <v>8400</v>
      </c>
      <c r="H273" s="316">
        <v>60</v>
      </c>
      <c r="I273" s="323"/>
      <c r="J273" s="316">
        <f t="shared" ref="J273:J278" si="217">F273</f>
        <v>700</v>
      </c>
      <c r="K273" s="316">
        <v>300</v>
      </c>
      <c r="L273" s="324"/>
      <c r="M273" s="307"/>
      <c r="N273" s="307">
        <f t="shared" ref="N273:N278" si="218">F273*0.0775*13</f>
        <v>705.25</v>
      </c>
      <c r="O273" s="321"/>
      <c r="P273" s="307">
        <f>N273/13</f>
        <v>54.25</v>
      </c>
      <c r="Q273" s="307"/>
      <c r="R273" s="307"/>
      <c r="S273" s="307">
        <f t="shared" ref="S273:S278" si="219">F273*0.075*13</f>
        <v>682.5</v>
      </c>
      <c r="T273" s="307">
        <f>S273/13</f>
        <v>52.5</v>
      </c>
      <c r="U273" s="307"/>
      <c r="V273" s="307"/>
      <c r="W273" s="307">
        <f>N273+Q273+S273+U273</f>
        <v>1387.75</v>
      </c>
      <c r="X273" s="307">
        <f t="shared" ref="X273:X278" si="220">F273*0.01*13</f>
        <v>91</v>
      </c>
      <c r="Y273" s="307">
        <f>X273/13</f>
        <v>7</v>
      </c>
      <c r="Z273" s="325"/>
      <c r="AA273" s="325"/>
      <c r="AB273" s="324"/>
      <c r="AC273" s="325"/>
      <c r="AD273" s="324"/>
      <c r="AE273" s="307"/>
      <c r="AF273" s="325"/>
      <c r="AG273" s="325"/>
      <c r="AH273" s="325"/>
      <c r="AI273" s="325"/>
      <c r="AJ273" s="324"/>
    </row>
    <row r="274" spans="1:36" ht="21" customHeight="1">
      <c r="A274" s="55">
        <f>A273+1</f>
        <v>216</v>
      </c>
      <c r="B274" s="147" t="s">
        <v>91</v>
      </c>
      <c r="C274" s="107" t="s">
        <v>671</v>
      </c>
      <c r="D274" s="313" t="s">
        <v>79</v>
      </c>
      <c r="E274" s="314" t="s">
        <v>306</v>
      </c>
      <c r="F274" s="315">
        <f>547+30+50+50</f>
        <v>677</v>
      </c>
      <c r="G274" s="316">
        <f>F274*12</f>
        <v>8124</v>
      </c>
      <c r="H274" s="316">
        <v>60</v>
      </c>
      <c r="I274" s="323"/>
      <c r="J274" s="316">
        <f t="shared" si="217"/>
        <v>677</v>
      </c>
      <c r="K274" s="316">
        <v>300</v>
      </c>
      <c r="L274" s="324"/>
      <c r="M274" s="307"/>
      <c r="N274" s="307">
        <f t="shared" si="218"/>
        <v>682.07749999999999</v>
      </c>
      <c r="O274" s="321"/>
      <c r="P274" s="307">
        <f>N274/13</f>
        <v>52.467500000000001</v>
      </c>
      <c r="Q274" s="307"/>
      <c r="R274" s="307"/>
      <c r="S274" s="307">
        <f t="shared" si="219"/>
        <v>660.07499999999993</v>
      </c>
      <c r="T274" s="307">
        <f>S274/13</f>
        <v>50.774999999999991</v>
      </c>
      <c r="U274" s="307"/>
      <c r="V274" s="307"/>
      <c r="W274" s="307">
        <f>N274+Q274+S274+U274</f>
        <v>1342.1524999999999</v>
      </c>
      <c r="X274" s="307">
        <f t="shared" si="220"/>
        <v>88.01</v>
      </c>
      <c r="Y274" s="307">
        <f>X274/13</f>
        <v>6.7700000000000005</v>
      </c>
      <c r="Z274" s="325"/>
      <c r="AA274" s="325"/>
      <c r="AB274" s="324"/>
      <c r="AC274" s="325"/>
      <c r="AD274" s="324"/>
      <c r="AE274" s="307"/>
      <c r="AF274" s="325"/>
      <c r="AG274" s="325"/>
      <c r="AH274" s="325"/>
      <c r="AI274" s="325"/>
      <c r="AJ274" s="324"/>
    </row>
    <row r="275" spans="1:36" ht="21" customHeight="1">
      <c r="A275" s="55">
        <f>A274+1</f>
        <v>217</v>
      </c>
      <c r="B275" s="335" t="s">
        <v>366</v>
      </c>
      <c r="C275" s="107" t="s">
        <v>671</v>
      </c>
      <c r="D275" s="313" t="s">
        <v>762</v>
      </c>
      <c r="E275" s="314" t="s">
        <v>306</v>
      </c>
      <c r="F275" s="315">
        <v>417</v>
      </c>
      <c r="G275" s="316">
        <f t="shared" ref="G275:G278" si="221">F275*12</f>
        <v>5004</v>
      </c>
      <c r="H275" s="316">
        <v>60</v>
      </c>
      <c r="I275" s="323"/>
      <c r="J275" s="316">
        <f t="shared" si="217"/>
        <v>417</v>
      </c>
      <c r="K275" s="316">
        <v>300</v>
      </c>
      <c r="L275" s="324"/>
      <c r="M275" s="307"/>
      <c r="N275" s="307">
        <f t="shared" si="218"/>
        <v>420.12750000000005</v>
      </c>
      <c r="O275" s="321"/>
      <c r="P275" s="307">
        <f t="shared" ref="P275:P278" si="222">N275/13</f>
        <v>32.317500000000003</v>
      </c>
      <c r="Q275" s="307"/>
      <c r="R275" s="307"/>
      <c r="S275" s="307">
        <f t="shared" si="219"/>
        <v>406.57499999999999</v>
      </c>
      <c r="T275" s="307">
        <f t="shared" ref="T275:T278" si="223">S275/13</f>
        <v>31.274999999999999</v>
      </c>
      <c r="U275" s="307"/>
      <c r="V275" s="307"/>
      <c r="W275" s="307">
        <f>N275+Q275+S275+U275+0.01</f>
        <v>826.71250000000009</v>
      </c>
      <c r="X275" s="307">
        <f t="shared" si="220"/>
        <v>54.21</v>
      </c>
      <c r="Y275" s="307">
        <f t="shared" ref="Y275:Y278" si="224">X275/13</f>
        <v>4.17</v>
      </c>
      <c r="Z275" s="325"/>
      <c r="AA275" s="325"/>
      <c r="AB275" s="324"/>
      <c r="AC275" s="325"/>
      <c r="AD275" s="324"/>
      <c r="AE275" s="307"/>
      <c r="AF275" s="325"/>
      <c r="AG275" s="325"/>
      <c r="AH275" s="325"/>
      <c r="AI275" s="325"/>
      <c r="AJ275" s="324"/>
    </row>
    <row r="276" spans="1:36" ht="20.25" customHeight="1">
      <c r="A276" s="55">
        <f t="shared" ref="A276:A278" si="225">A275+1</f>
        <v>218</v>
      </c>
      <c r="B276" s="335" t="s">
        <v>366</v>
      </c>
      <c r="C276" s="107" t="s">
        <v>671</v>
      </c>
      <c r="D276" s="313" t="s">
        <v>762</v>
      </c>
      <c r="E276" s="314" t="s">
        <v>306</v>
      </c>
      <c r="F276" s="315">
        <v>417</v>
      </c>
      <c r="G276" s="316">
        <f t="shared" si="221"/>
        <v>5004</v>
      </c>
      <c r="H276" s="316">
        <v>60</v>
      </c>
      <c r="I276" s="323"/>
      <c r="J276" s="316">
        <f t="shared" si="217"/>
        <v>417</v>
      </c>
      <c r="K276" s="316">
        <v>300</v>
      </c>
      <c r="L276" s="324"/>
      <c r="M276" s="307"/>
      <c r="N276" s="307">
        <f t="shared" si="218"/>
        <v>420.12750000000005</v>
      </c>
      <c r="O276" s="321"/>
      <c r="P276" s="307">
        <f t="shared" si="222"/>
        <v>32.317500000000003</v>
      </c>
      <c r="Q276" s="307"/>
      <c r="R276" s="307"/>
      <c r="S276" s="307">
        <f t="shared" si="219"/>
        <v>406.57499999999999</v>
      </c>
      <c r="T276" s="307">
        <f t="shared" si="223"/>
        <v>31.274999999999999</v>
      </c>
      <c r="U276" s="307"/>
      <c r="V276" s="307"/>
      <c r="W276" s="307">
        <f t="shared" ref="W276:W278" si="226">N276+Q276+S276+U276+0.01</f>
        <v>826.71250000000009</v>
      </c>
      <c r="X276" s="307">
        <f t="shared" si="220"/>
        <v>54.21</v>
      </c>
      <c r="Y276" s="307">
        <f t="shared" si="224"/>
        <v>4.17</v>
      </c>
      <c r="Z276" s="325"/>
      <c r="AA276" s="325"/>
      <c r="AB276" s="324"/>
      <c r="AC276" s="325"/>
      <c r="AD276" s="324"/>
      <c r="AE276" s="307"/>
      <c r="AF276" s="325"/>
      <c r="AG276" s="325"/>
      <c r="AH276" s="325"/>
      <c r="AI276" s="325"/>
      <c r="AJ276" s="324"/>
    </row>
    <row r="277" spans="1:36" ht="20.25" customHeight="1">
      <c r="A277" s="55">
        <f t="shared" si="225"/>
        <v>219</v>
      </c>
      <c r="B277" s="335" t="s">
        <v>366</v>
      </c>
      <c r="C277" s="107" t="s">
        <v>671</v>
      </c>
      <c r="D277" s="313" t="s">
        <v>762</v>
      </c>
      <c r="E277" s="314" t="s">
        <v>306</v>
      </c>
      <c r="F277" s="315">
        <v>417</v>
      </c>
      <c r="G277" s="316">
        <f t="shared" ref="G277" si="227">F277*12</f>
        <v>5004</v>
      </c>
      <c r="H277" s="316">
        <v>60</v>
      </c>
      <c r="I277" s="323"/>
      <c r="J277" s="316">
        <f t="shared" si="217"/>
        <v>417</v>
      </c>
      <c r="K277" s="316">
        <v>300</v>
      </c>
      <c r="L277" s="324"/>
      <c r="M277" s="307"/>
      <c r="N277" s="307">
        <f t="shared" si="218"/>
        <v>420.12750000000005</v>
      </c>
      <c r="O277" s="321"/>
      <c r="P277" s="307">
        <f t="shared" ref="P277" si="228">N277/13</f>
        <v>32.317500000000003</v>
      </c>
      <c r="Q277" s="307"/>
      <c r="R277" s="307"/>
      <c r="S277" s="307">
        <f t="shared" si="219"/>
        <v>406.57499999999999</v>
      </c>
      <c r="T277" s="307">
        <f t="shared" ref="T277" si="229">S277/13</f>
        <v>31.274999999999999</v>
      </c>
      <c r="U277" s="307"/>
      <c r="V277" s="307"/>
      <c r="W277" s="307">
        <f t="shared" si="226"/>
        <v>826.71250000000009</v>
      </c>
      <c r="X277" s="307">
        <f t="shared" si="220"/>
        <v>54.21</v>
      </c>
      <c r="Y277" s="307">
        <f t="shared" ref="Y277" si="230">X277/13</f>
        <v>4.17</v>
      </c>
      <c r="Z277" s="325"/>
      <c r="AA277" s="325"/>
      <c r="AB277" s="324"/>
      <c r="AC277" s="325"/>
      <c r="AD277" s="324"/>
      <c r="AE277" s="307"/>
      <c r="AF277" s="325"/>
      <c r="AG277" s="325"/>
      <c r="AH277" s="325"/>
      <c r="AI277" s="325"/>
      <c r="AJ277" s="324"/>
    </row>
    <row r="278" spans="1:36" ht="19.5" customHeight="1">
      <c r="A278" s="55">
        <f t="shared" si="225"/>
        <v>220</v>
      </c>
      <c r="B278" s="335" t="s">
        <v>366</v>
      </c>
      <c r="C278" s="107" t="s">
        <v>671</v>
      </c>
      <c r="D278" s="313" t="s">
        <v>762</v>
      </c>
      <c r="E278" s="314" t="s">
        <v>306</v>
      </c>
      <c r="F278" s="315">
        <v>417</v>
      </c>
      <c r="G278" s="316">
        <f t="shared" si="221"/>
        <v>5004</v>
      </c>
      <c r="H278" s="316">
        <v>60</v>
      </c>
      <c r="I278" s="323"/>
      <c r="J278" s="316">
        <f t="shared" si="217"/>
        <v>417</v>
      </c>
      <c r="K278" s="316">
        <v>300</v>
      </c>
      <c r="L278" s="324"/>
      <c r="M278" s="307"/>
      <c r="N278" s="307">
        <f t="shared" si="218"/>
        <v>420.12750000000005</v>
      </c>
      <c r="O278" s="321"/>
      <c r="P278" s="307">
        <f t="shared" si="222"/>
        <v>32.317500000000003</v>
      </c>
      <c r="Q278" s="307"/>
      <c r="R278" s="307"/>
      <c r="S278" s="307">
        <f t="shared" si="219"/>
        <v>406.57499999999999</v>
      </c>
      <c r="T278" s="307">
        <f t="shared" si="223"/>
        <v>31.274999999999999</v>
      </c>
      <c r="U278" s="307"/>
      <c r="V278" s="307"/>
      <c r="W278" s="307">
        <f t="shared" si="226"/>
        <v>826.71250000000009</v>
      </c>
      <c r="X278" s="307">
        <f t="shared" si="220"/>
        <v>54.21</v>
      </c>
      <c r="Y278" s="307">
        <f t="shared" si="224"/>
        <v>4.17</v>
      </c>
      <c r="Z278" s="325"/>
      <c r="AA278" s="325"/>
      <c r="AB278" s="324"/>
      <c r="AC278" s="325"/>
      <c r="AD278" s="324"/>
      <c r="AE278" s="307"/>
      <c r="AF278" s="325"/>
      <c r="AG278" s="325"/>
      <c r="AH278" s="325"/>
      <c r="AI278" s="325"/>
      <c r="AJ278" s="324"/>
    </row>
    <row r="279" spans="1:36">
      <c r="A279" s="55"/>
      <c r="B279" s="138" t="s">
        <v>714</v>
      </c>
      <c r="C279" s="107"/>
      <c r="D279" s="313"/>
      <c r="E279" s="314"/>
      <c r="F279" s="319">
        <f>SUM(F273:F278)</f>
        <v>3045</v>
      </c>
      <c r="G279" s="319">
        <f t="shared" ref="G279:Y279" si="231">SUM(G273:G278)</f>
        <v>36540</v>
      </c>
      <c r="H279" s="319">
        <f t="shared" si="231"/>
        <v>360</v>
      </c>
      <c r="I279" s="319">
        <f t="shared" si="231"/>
        <v>0</v>
      </c>
      <c r="J279" s="319">
        <f t="shared" si="231"/>
        <v>3045</v>
      </c>
      <c r="K279" s="319">
        <f t="shared" si="231"/>
        <v>1800</v>
      </c>
      <c r="L279" s="319">
        <f t="shared" si="231"/>
        <v>0</v>
      </c>
      <c r="M279" s="319">
        <f t="shared" si="231"/>
        <v>0</v>
      </c>
      <c r="N279" s="319">
        <f>SUM(N273:N278)+0.01</f>
        <v>3067.8475000000003</v>
      </c>
      <c r="O279" s="319">
        <f t="shared" si="231"/>
        <v>0</v>
      </c>
      <c r="P279" s="319">
        <f>SUM(P273:P278)+0.01</f>
        <v>235.99749999999997</v>
      </c>
      <c r="Q279" s="319">
        <f t="shared" si="231"/>
        <v>0</v>
      </c>
      <c r="R279" s="319">
        <f t="shared" si="231"/>
        <v>0</v>
      </c>
      <c r="S279" s="319">
        <f>SUM(S273:S278)+0.02</f>
        <v>2968.8949999999995</v>
      </c>
      <c r="T279" s="319">
        <f t="shared" si="231"/>
        <v>228.375</v>
      </c>
      <c r="U279" s="319">
        <f t="shared" si="231"/>
        <v>0</v>
      </c>
      <c r="V279" s="319">
        <f t="shared" si="231"/>
        <v>0</v>
      </c>
      <c r="W279" s="319">
        <f t="shared" si="231"/>
        <v>6036.7525000000005</v>
      </c>
      <c r="X279" s="319">
        <f t="shared" si="231"/>
        <v>395.84999999999997</v>
      </c>
      <c r="Y279" s="319">
        <f t="shared" si="231"/>
        <v>30.450000000000003</v>
      </c>
      <c r="Z279" s="325"/>
      <c r="AA279" s="325"/>
      <c r="AB279" s="324"/>
      <c r="AC279" s="325"/>
      <c r="AD279" s="324"/>
      <c r="AE279" s="307"/>
      <c r="AF279" s="325"/>
      <c r="AG279" s="325"/>
      <c r="AH279" s="325"/>
      <c r="AI279" s="325"/>
      <c r="AJ279" s="324"/>
    </row>
    <row r="280" spans="1:36" ht="30" customHeight="1">
      <c r="A280" s="55">
        <f>A278+1</f>
        <v>221</v>
      </c>
      <c r="B280" s="163" t="s">
        <v>96</v>
      </c>
      <c r="C280" s="107" t="s">
        <v>780</v>
      </c>
      <c r="D280" s="313" t="s">
        <v>79</v>
      </c>
      <c r="E280" s="314" t="s">
        <v>306</v>
      </c>
      <c r="F280" s="315">
        <f>467+30+50+50</f>
        <v>597</v>
      </c>
      <c r="G280" s="316">
        <f>F280*12</f>
        <v>7164</v>
      </c>
      <c r="H280" s="316">
        <v>60</v>
      </c>
      <c r="I280" s="323"/>
      <c r="J280" s="316">
        <f>F280</f>
        <v>597</v>
      </c>
      <c r="K280" s="316">
        <v>300</v>
      </c>
      <c r="L280" s="324"/>
      <c r="M280" s="307">
        <v>125</v>
      </c>
      <c r="N280" s="307">
        <f>F280*0.0775*13</f>
        <v>601.47749999999996</v>
      </c>
      <c r="O280" s="307">
        <f>N280/13</f>
        <v>46.267499999999998</v>
      </c>
      <c r="P280" s="307"/>
      <c r="Q280" s="307"/>
      <c r="R280" s="307"/>
      <c r="S280" s="307">
        <f>F280*0.075*13</f>
        <v>582.07499999999993</v>
      </c>
      <c r="T280" s="307">
        <f>S280/13</f>
        <v>44.774999999999991</v>
      </c>
      <c r="U280" s="307"/>
      <c r="V280" s="307"/>
      <c r="W280" s="307">
        <f>N280+Q280+S280+U280</f>
        <v>1183.5524999999998</v>
      </c>
      <c r="X280" s="307">
        <f>F280*0.01*13</f>
        <v>77.61</v>
      </c>
      <c r="Y280" s="307">
        <f>X280/13</f>
        <v>5.97</v>
      </c>
      <c r="Z280" s="325"/>
      <c r="AA280" s="325"/>
      <c r="AB280" s="324"/>
      <c r="AC280" s="325"/>
      <c r="AD280" s="324"/>
      <c r="AE280" s="307"/>
      <c r="AF280" s="325"/>
      <c r="AG280" s="325"/>
      <c r="AH280" s="325"/>
      <c r="AI280" s="325"/>
      <c r="AJ280" s="324"/>
    </row>
    <row r="281" spans="1:36">
      <c r="A281" s="21"/>
      <c r="B281" s="138" t="s">
        <v>98</v>
      </c>
      <c r="C281" s="107"/>
      <c r="D281" s="313"/>
      <c r="E281" s="314"/>
      <c r="F281" s="319">
        <f>SUM(F280)</f>
        <v>597</v>
      </c>
      <c r="G281" s="320">
        <f>SUM(G280)</f>
        <v>7164</v>
      </c>
      <c r="H281" s="320">
        <f>SUM(H280)</f>
        <v>60</v>
      </c>
      <c r="I281" s="323"/>
      <c r="J281" s="320">
        <f>SUM(J280)</f>
        <v>597</v>
      </c>
      <c r="K281" s="320">
        <f>SUM(K280)</f>
        <v>300</v>
      </c>
      <c r="L281" s="324"/>
      <c r="M281" s="312">
        <f>SUM(M280)</f>
        <v>125</v>
      </c>
      <c r="N281" s="312">
        <f>SUM(N280)</f>
        <v>601.47749999999996</v>
      </c>
      <c r="O281" s="312">
        <f>SUM(O280)</f>
        <v>46.267499999999998</v>
      </c>
      <c r="P281" s="312">
        <f>SUM(P280)</f>
        <v>0</v>
      </c>
      <c r="Q281" s="307">
        <f>SUM(Q280)</f>
        <v>0</v>
      </c>
      <c r="R281" s="307"/>
      <c r="S281" s="312">
        <f>SUM(S280)</f>
        <v>582.07499999999993</v>
      </c>
      <c r="T281" s="312">
        <f>SUM(T280)</f>
        <v>44.774999999999991</v>
      </c>
      <c r="U281" s="307"/>
      <c r="V281" s="307"/>
      <c r="W281" s="312">
        <f>SUM(W280)</f>
        <v>1183.5524999999998</v>
      </c>
      <c r="X281" s="312">
        <f>SUM(X280)</f>
        <v>77.61</v>
      </c>
      <c r="Y281" s="312">
        <f>Y280</f>
        <v>5.97</v>
      </c>
      <c r="Z281" s="325"/>
      <c r="AA281" s="325"/>
      <c r="AB281" s="324"/>
      <c r="AC281" s="325"/>
      <c r="AD281" s="324"/>
      <c r="AE281" s="307"/>
      <c r="AF281" s="325"/>
      <c r="AG281" s="325"/>
      <c r="AH281" s="325"/>
      <c r="AI281" s="325"/>
      <c r="AJ281" s="324"/>
    </row>
    <row r="282" spans="1:36">
      <c r="A282" s="21"/>
      <c r="B282" s="456" t="s">
        <v>718</v>
      </c>
      <c r="C282" s="457"/>
      <c r="D282" s="457"/>
      <c r="E282" s="458"/>
      <c r="F282" s="319">
        <f>SUM(F281,F279,F272,F267,F261,F255,F249,F243,F240,F237,F215)</f>
        <v>33919</v>
      </c>
      <c r="G282" s="319">
        <f t="shared" ref="G282:AJ282" si="232">SUM(G281,G279,G272,G267,G261,G255,G249,G243,G240,G237,G215)</f>
        <v>407028</v>
      </c>
      <c r="H282" s="319">
        <f t="shared" si="232"/>
        <v>3540</v>
      </c>
      <c r="I282" s="319">
        <f t="shared" si="232"/>
        <v>5000</v>
      </c>
      <c r="J282" s="319">
        <f t="shared" si="232"/>
        <v>33919</v>
      </c>
      <c r="K282" s="319">
        <f t="shared" si="232"/>
        <v>17700</v>
      </c>
      <c r="L282" s="319">
        <f t="shared" si="232"/>
        <v>0</v>
      </c>
      <c r="M282" s="319">
        <f t="shared" si="232"/>
        <v>1375</v>
      </c>
      <c r="N282" s="319">
        <f>SUM(N281,N279,N272,N267,N261,N255,N249,N243,N240,N237,N215)+0.01</f>
        <v>32394.227500000005</v>
      </c>
      <c r="O282" s="319">
        <f t="shared" si="232"/>
        <v>620.16499999999996</v>
      </c>
      <c r="P282" s="319">
        <f>SUM(P281,P279,P272,P267,P261,P255,P249,P243,P240,P237,P215)+0.02</f>
        <v>1871.7725</v>
      </c>
      <c r="Q282" s="319">
        <f t="shared" si="232"/>
        <v>0</v>
      </c>
      <c r="R282" s="319">
        <f t="shared" si="232"/>
        <v>0</v>
      </c>
      <c r="S282" s="319">
        <f>SUM(S281,S279,S272,S267,S261,S255,S249,S243,S240,S237,S215)+0.03</f>
        <v>33071.205000000002</v>
      </c>
      <c r="T282" s="319">
        <f t="shared" si="232"/>
        <v>2544.0349999999999</v>
      </c>
      <c r="U282" s="319">
        <f t="shared" si="232"/>
        <v>1377.48</v>
      </c>
      <c r="V282" s="319">
        <f t="shared" si="232"/>
        <v>102.66</v>
      </c>
      <c r="W282" s="319">
        <f t="shared" si="232"/>
        <v>66842.852500000008</v>
      </c>
      <c r="X282" s="319">
        <f t="shared" si="232"/>
        <v>4409.47</v>
      </c>
      <c r="Y282" s="319">
        <f t="shared" si="232"/>
        <v>339.19000000000005</v>
      </c>
      <c r="Z282" s="319">
        <f t="shared" si="232"/>
        <v>0</v>
      </c>
      <c r="AA282" s="319">
        <f t="shared" si="232"/>
        <v>0</v>
      </c>
      <c r="AB282" s="319">
        <f t="shared" si="232"/>
        <v>0</v>
      </c>
      <c r="AC282" s="319">
        <f t="shared" si="232"/>
        <v>0</v>
      </c>
      <c r="AD282" s="319">
        <f t="shared" si="232"/>
        <v>0</v>
      </c>
      <c r="AE282" s="319">
        <f t="shared" si="232"/>
        <v>0</v>
      </c>
      <c r="AF282" s="319">
        <f t="shared" si="232"/>
        <v>0</v>
      </c>
      <c r="AG282" s="319">
        <f t="shared" si="232"/>
        <v>0</v>
      </c>
      <c r="AH282" s="319">
        <f t="shared" si="232"/>
        <v>0</v>
      </c>
      <c r="AI282" s="319">
        <f t="shared" si="232"/>
        <v>0</v>
      </c>
      <c r="AJ282" s="319">
        <f t="shared" si="232"/>
        <v>0</v>
      </c>
    </row>
    <row r="283" spans="1:36" ht="28.5" customHeight="1">
      <c r="A283" s="55">
        <f>A280+1</f>
        <v>222</v>
      </c>
      <c r="B283" s="163" t="s">
        <v>323</v>
      </c>
      <c r="C283" s="107" t="s">
        <v>324</v>
      </c>
      <c r="D283" s="313" t="s">
        <v>79</v>
      </c>
      <c r="E283" s="314" t="s">
        <v>351</v>
      </c>
      <c r="F283" s="315">
        <f>1219.86+30+50</f>
        <v>1299.8599999999999</v>
      </c>
      <c r="G283" s="316">
        <f t="shared" ref="G283:G290" si="233">F283*12</f>
        <v>15598.32</v>
      </c>
      <c r="H283" s="316">
        <v>60</v>
      </c>
      <c r="I283" s="323"/>
      <c r="J283" s="316">
        <f t="shared" ref="J283:J290" si="234">F283</f>
        <v>1299.8599999999999</v>
      </c>
      <c r="K283" s="316">
        <v>300</v>
      </c>
      <c r="L283" s="324"/>
      <c r="M283" s="307">
        <v>125</v>
      </c>
      <c r="N283" s="307">
        <f>F283*0.0775*13</f>
        <v>1309.6089499999998</v>
      </c>
      <c r="O283" s="307">
        <f>N283/13</f>
        <v>100.73914999999998</v>
      </c>
      <c r="P283" s="307"/>
      <c r="Q283" s="324"/>
      <c r="R283" s="324"/>
      <c r="S283" s="307">
        <f>75*13</f>
        <v>975</v>
      </c>
      <c r="T283" s="307">
        <f t="shared" ref="T283:T290" si="235">S283/13</f>
        <v>75</v>
      </c>
      <c r="U283" s="324"/>
      <c r="V283" s="324"/>
      <c r="W283" s="307">
        <f t="shared" ref="W283:W286" si="236">N283+Q283+S283+U283</f>
        <v>2284.6089499999998</v>
      </c>
      <c r="X283" s="307">
        <f>10*13</f>
        <v>130</v>
      </c>
      <c r="Y283" s="307">
        <f t="shared" ref="Y283:Y290" si="237">X283/13</f>
        <v>10</v>
      </c>
      <c r="Z283" s="307"/>
      <c r="AA283" s="325"/>
      <c r="AB283" s="324"/>
      <c r="AC283" s="325"/>
      <c r="AD283" s="324"/>
      <c r="AE283" s="307"/>
      <c r="AF283" s="307"/>
      <c r="AG283" s="307"/>
      <c r="AH283" s="307"/>
      <c r="AI283" s="307"/>
      <c r="AJ283" s="324"/>
    </row>
    <row r="284" spans="1:36" ht="28.5" customHeight="1">
      <c r="A284" s="21">
        <f>A283+1</f>
        <v>223</v>
      </c>
      <c r="B284" s="147" t="s">
        <v>342</v>
      </c>
      <c r="C284" s="107" t="s">
        <v>324</v>
      </c>
      <c r="D284" s="313" t="s">
        <v>79</v>
      </c>
      <c r="E284" s="314" t="s">
        <v>351</v>
      </c>
      <c r="F284" s="315">
        <v>1000</v>
      </c>
      <c r="G284" s="316">
        <f>F284*12</f>
        <v>12000</v>
      </c>
      <c r="H284" s="316">
        <v>60</v>
      </c>
      <c r="I284" s="323"/>
      <c r="J284" s="316">
        <f t="shared" si="234"/>
        <v>1000</v>
      </c>
      <c r="K284" s="316">
        <v>300</v>
      </c>
      <c r="L284" s="324"/>
      <c r="M284" s="307">
        <v>125</v>
      </c>
      <c r="N284" s="307">
        <f>F284*0.0775*13</f>
        <v>1007.5</v>
      </c>
      <c r="O284" s="321"/>
      <c r="P284" s="307">
        <f>N284/13</f>
        <v>77.5</v>
      </c>
      <c r="Q284" s="324"/>
      <c r="R284" s="324"/>
      <c r="S284" s="307">
        <f t="shared" ref="S284:S290" si="238">F284*0.075*13</f>
        <v>975</v>
      </c>
      <c r="T284" s="307">
        <f t="shared" si="235"/>
        <v>75</v>
      </c>
      <c r="U284" s="324"/>
      <c r="V284" s="324"/>
      <c r="W284" s="307">
        <f>N284+Q284+S284+U284</f>
        <v>1982.5</v>
      </c>
      <c r="X284" s="307">
        <f t="shared" ref="X284:X290" si="239">F284*0.01*13</f>
        <v>130</v>
      </c>
      <c r="Y284" s="307">
        <f>X284/13</f>
        <v>10</v>
      </c>
      <c r="Z284" s="325"/>
      <c r="AA284" s="325"/>
      <c r="AB284" s="324"/>
      <c r="AC284" s="325"/>
      <c r="AD284" s="324"/>
      <c r="AE284" s="307"/>
      <c r="AF284" s="325"/>
      <c r="AG284" s="325"/>
      <c r="AH284" s="325"/>
      <c r="AI284" s="325"/>
      <c r="AJ284" s="324"/>
    </row>
    <row r="285" spans="1:36" ht="28.5" customHeight="1">
      <c r="A285" s="21">
        <f>A284+1</f>
        <v>224</v>
      </c>
      <c r="B285" s="147" t="s">
        <v>328</v>
      </c>
      <c r="C285" s="107" t="s">
        <v>324</v>
      </c>
      <c r="D285" s="313" t="s">
        <v>79</v>
      </c>
      <c r="E285" s="314" t="s">
        <v>351</v>
      </c>
      <c r="F285" s="315">
        <f>612+30+50+50</f>
        <v>742</v>
      </c>
      <c r="G285" s="316">
        <f t="shared" si="233"/>
        <v>8904</v>
      </c>
      <c r="H285" s="316">
        <v>60</v>
      </c>
      <c r="I285" s="323"/>
      <c r="J285" s="316">
        <f t="shared" si="234"/>
        <v>742</v>
      </c>
      <c r="K285" s="316">
        <v>300</v>
      </c>
      <c r="L285" s="324"/>
      <c r="M285" s="307"/>
      <c r="N285" s="307">
        <f>F285*0.0775*13</f>
        <v>747.56500000000005</v>
      </c>
      <c r="O285" s="307">
        <f>N285/13</f>
        <v>57.505000000000003</v>
      </c>
      <c r="P285" s="307"/>
      <c r="Q285" s="324"/>
      <c r="R285" s="324"/>
      <c r="S285" s="307">
        <f t="shared" si="238"/>
        <v>723.44999999999993</v>
      </c>
      <c r="T285" s="307">
        <f t="shared" si="235"/>
        <v>55.649999999999991</v>
      </c>
      <c r="U285" s="324"/>
      <c r="V285" s="324"/>
      <c r="W285" s="307">
        <f t="shared" si="236"/>
        <v>1471.0149999999999</v>
      </c>
      <c r="X285" s="307">
        <f t="shared" si="239"/>
        <v>96.46</v>
      </c>
      <c r="Y285" s="307">
        <f t="shared" si="237"/>
        <v>7.42</v>
      </c>
      <c r="Z285" s="325"/>
      <c r="AA285" s="325"/>
      <c r="AB285" s="324"/>
      <c r="AC285" s="325"/>
      <c r="AD285" s="324"/>
      <c r="AE285" s="307"/>
      <c r="AF285" s="325"/>
      <c r="AG285" s="325"/>
      <c r="AH285" s="325"/>
      <c r="AI285" s="325"/>
      <c r="AJ285" s="324"/>
    </row>
    <row r="286" spans="1:36" ht="28.5" customHeight="1">
      <c r="A286" s="21">
        <f>A285+1</f>
        <v>225</v>
      </c>
      <c r="B286" s="147" t="s">
        <v>135</v>
      </c>
      <c r="C286" s="107" t="s">
        <v>324</v>
      </c>
      <c r="D286" s="313" t="s">
        <v>79</v>
      </c>
      <c r="E286" s="314" t="s">
        <v>351</v>
      </c>
      <c r="F286" s="315">
        <f>617.72+30+50+50</f>
        <v>747.72</v>
      </c>
      <c r="G286" s="316">
        <f t="shared" si="233"/>
        <v>8972.64</v>
      </c>
      <c r="H286" s="316">
        <v>60</v>
      </c>
      <c r="I286" s="323"/>
      <c r="J286" s="316">
        <f t="shared" si="234"/>
        <v>747.72</v>
      </c>
      <c r="K286" s="316">
        <v>300</v>
      </c>
      <c r="L286" s="324"/>
      <c r="M286" s="307"/>
      <c r="N286" s="307"/>
      <c r="O286" s="307"/>
      <c r="P286" s="307"/>
      <c r="Q286" s="324"/>
      <c r="R286" s="324"/>
      <c r="S286" s="307">
        <f t="shared" si="238"/>
        <v>729.02700000000004</v>
      </c>
      <c r="T286" s="307">
        <f t="shared" si="235"/>
        <v>56.079000000000001</v>
      </c>
      <c r="U286" s="307">
        <f>F286*0.06*13</f>
        <v>583.22159999999997</v>
      </c>
      <c r="V286" s="307">
        <f>U286/12</f>
        <v>48.601799999999997</v>
      </c>
      <c r="W286" s="307">
        <f t="shared" si="236"/>
        <v>1312.2485999999999</v>
      </c>
      <c r="X286" s="307">
        <f t="shared" si="239"/>
        <v>97.203600000000009</v>
      </c>
      <c r="Y286" s="307">
        <f t="shared" si="237"/>
        <v>7.4772000000000007</v>
      </c>
      <c r="Z286" s="325"/>
      <c r="AA286" s="325"/>
      <c r="AB286" s="324"/>
      <c r="AC286" s="325"/>
      <c r="AD286" s="325"/>
      <c r="AE286" s="307"/>
      <c r="AF286" s="325"/>
      <c r="AG286" s="325"/>
      <c r="AH286" s="325"/>
      <c r="AI286" s="325"/>
      <c r="AJ286" s="324"/>
    </row>
    <row r="287" spans="1:36" ht="28.5" customHeight="1">
      <c r="A287" s="21">
        <f t="shared" ref="A287:A290" si="240">A286+1</f>
        <v>226</v>
      </c>
      <c r="B287" s="335" t="s">
        <v>727</v>
      </c>
      <c r="C287" s="107" t="s">
        <v>324</v>
      </c>
      <c r="D287" s="313" t="s">
        <v>762</v>
      </c>
      <c r="E287" s="314" t="s">
        <v>351</v>
      </c>
      <c r="F287" s="315">
        <v>800</v>
      </c>
      <c r="G287" s="316">
        <f t="shared" si="233"/>
        <v>9600</v>
      </c>
      <c r="H287" s="316">
        <v>60</v>
      </c>
      <c r="I287" s="323"/>
      <c r="J287" s="316">
        <f t="shared" si="234"/>
        <v>800</v>
      </c>
      <c r="K287" s="316">
        <v>300</v>
      </c>
      <c r="L287" s="324"/>
      <c r="M287" s="307"/>
      <c r="N287" s="307">
        <f>F287*0.0775*13</f>
        <v>806</v>
      </c>
      <c r="O287" s="321"/>
      <c r="P287" s="307">
        <f>N287/13</f>
        <v>62</v>
      </c>
      <c r="Q287" s="324"/>
      <c r="R287" s="324"/>
      <c r="S287" s="307">
        <f t="shared" si="238"/>
        <v>780</v>
      </c>
      <c r="T287" s="307">
        <f t="shared" si="235"/>
        <v>60</v>
      </c>
      <c r="U287" s="324"/>
      <c r="V287" s="324"/>
      <c r="W287" s="307">
        <f>N287+Q287+S287+U287</f>
        <v>1586</v>
      </c>
      <c r="X287" s="307">
        <f t="shared" si="239"/>
        <v>104</v>
      </c>
      <c r="Y287" s="307">
        <f t="shared" si="237"/>
        <v>8</v>
      </c>
      <c r="Z287" s="325"/>
      <c r="AA287" s="325"/>
      <c r="AB287" s="324"/>
      <c r="AC287" s="325"/>
      <c r="AD287" s="324"/>
      <c r="AE287" s="307"/>
      <c r="AF287" s="325"/>
      <c r="AG287" s="325"/>
      <c r="AH287" s="325"/>
      <c r="AI287" s="325"/>
      <c r="AJ287" s="324"/>
    </row>
    <row r="288" spans="1:36" ht="28.5" customHeight="1">
      <c r="A288" s="21">
        <f t="shared" si="240"/>
        <v>227</v>
      </c>
      <c r="B288" s="161" t="s">
        <v>642</v>
      </c>
      <c r="C288" s="107" t="s">
        <v>324</v>
      </c>
      <c r="D288" s="313" t="s">
        <v>79</v>
      </c>
      <c r="E288" s="314" t="s">
        <v>351</v>
      </c>
      <c r="F288" s="315">
        <f>650+50</f>
        <v>700</v>
      </c>
      <c r="G288" s="316">
        <f>F288*12</f>
        <v>8400</v>
      </c>
      <c r="H288" s="316">
        <v>60</v>
      </c>
      <c r="I288" s="316"/>
      <c r="J288" s="316">
        <f>F288</f>
        <v>700</v>
      </c>
      <c r="K288" s="316">
        <v>300</v>
      </c>
      <c r="L288" s="307"/>
      <c r="M288" s="307"/>
      <c r="N288" s="307">
        <f>F288*0.0775*13</f>
        <v>705.25</v>
      </c>
      <c r="O288" s="307">
        <f>N288/13</f>
        <v>54.25</v>
      </c>
      <c r="P288" s="186"/>
      <c r="Q288" s="307"/>
      <c r="R288" s="307"/>
      <c r="S288" s="307">
        <f t="shared" si="238"/>
        <v>682.5</v>
      </c>
      <c r="T288" s="307">
        <f>S288/13</f>
        <v>52.5</v>
      </c>
      <c r="U288" s="307"/>
      <c r="V288" s="307"/>
      <c r="W288" s="307">
        <f>N288+Q288+S288+U288</f>
        <v>1387.75</v>
      </c>
      <c r="X288" s="307">
        <f t="shared" si="239"/>
        <v>91</v>
      </c>
      <c r="Y288" s="307">
        <f>X288/13</f>
        <v>7</v>
      </c>
      <c r="Z288" s="307"/>
      <c r="AA288" s="307"/>
      <c r="AB288" s="307"/>
      <c r="AC288" s="307"/>
      <c r="AD288" s="307"/>
      <c r="AE288" s="307"/>
      <c r="AF288" s="307"/>
      <c r="AG288" s="307"/>
      <c r="AH288" s="307"/>
      <c r="AI288" s="307"/>
      <c r="AJ288" s="307"/>
    </row>
    <row r="289" spans="1:36" ht="28.5" customHeight="1">
      <c r="A289" s="21">
        <f t="shared" si="240"/>
        <v>228</v>
      </c>
      <c r="B289" s="147" t="s">
        <v>643</v>
      </c>
      <c r="C289" s="107" t="s">
        <v>324</v>
      </c>
      <c r="D289" s="313" t="s">
        <v>79</v>
      </c>
      <c r="E289" s="314" t="s">
        <v>351</v>
      </c>
      <c r="F289" s="315">
        <f>567+30+50+50</f>
        <v>697</v>
      </c>
      <c r="G289" s="316">
        <f>F289*12</f>
        <v>8364</v>
      </c>
      <c r="H289" s="316">
        <v>60</v>
      </c>
      <c r="I289" s="323"/>
      <c r="J289" s="316">
        <f>F289</f>
        <v>697</v>
      </c>
      <c r="K289" s="316">
        <v>300</v>
      </c>
      <c r="L289" s="324"/>
      <c r="M289" s="307">
        <v>125</v>
      </c>
      <c r="N289" s="307"/>
      <c r="O289" s="307"/>
      <c r="P289" s="307"/>
      <c r="Q289" s="307">
        <f>F289*0.075*13</f>
        <v>679.57499999999993</v>
      </c>
      <c r="R289" s="307">
        <f>Q289/12</f>
        <v>56.631249999999994</v>
      </c>
      <c r="S289" s="307">
        <f t="shared" si="238"/>
        <v>679.57499999999993</v>
      </c>
      <c r="T289" s="307">
        <f>S289/13</f>
        <v>52.274999999999991</v>
      </c>
      <c r="U289" s="324"/>
      <c r="V289" s="324"/>
      <c r="W289" s="307">
        <f>N289+Q289+S289+U289+0.01</f>
        <v>1359.1599999999999</v>
      </c>
      <c r="X289" s="307">
        <f t="shared" si="239"/>
        <v>90.61</v>
      </c>
      <c r="Y289" s="307">
        <f>X289/13</f>
        <v>6.97</v>
      </c>
      <c r="Z289" s="325"/>
      <c r="AA289" s="325"/>
      <c r="AB289" s="324"/>
      <c r="AC289" s="325"/>
      <c r="AD289" s="324"/>
      <c r="AE289" s="307"/>
      <c r="AF289" s="325"/>
      <c r="AG289" s="325"/>
      <c r="AH289" s="325"/>
      <c r="AI289" s="325"/>
      <c r="AJ289" s="324"/>
    </row>
    <row r="290" spans="1:36" ht="28.5" customHeight="1">
      <c r="A290" s="21">
        <f t="shared" si="240"/>
        <v>229</v>
      </c>
      <c r="B290" s="165" t="s">
        <v>643</v>
      </c>
      <c r="C290" s="107" t="s">
        <v>324</v>
      </c>
      <c r="D290" s="313" t="s">
        <v>759</v>
      </c>
      <c r="E290" s="314" t="s">
        <v>351</v>
      </c>
      <c r="F290" s="315">
        <v>500</v>
      </c>
      <c r="G290" s="316">
        <f t="shared" si="233"/>
        <v>6000</v>
      </c>
      <c r="H290" s="316">
        <v>60</v>
      </c>
      <c r="I290" s="323"/>
      <c r="J290" s="316">
        <f t="shared" si="234"/>
        <v>500</v>
      </c>
      <c r="K290" s="316">
        <v>300</v>
      </c>
      <c r="L290" s="324"/>
      <c r="M290" s="307"/>
      <c r="N290" s="307">
        <f>F290*0.0775*13</f>
        <v>503.75</v>
      </c>
      <c r="O290" s="321"/>
      <c r="P290" s="307">
        <f>N290/13</f>
        <v>38.75</v>
      </c>
      <c r="Q290" s="324"/>
      <c r="R290" s="324"/>
      <c r="S290" s="307">
        <f t="shared" si="238"/>
        <v>487.5</v>
      </c>
      <c r="T290" s="307">
        <f t="shared" si="235"/>
        <v>37.5</v>
      </c>
      <c r="U290" s="324"/>
      <c r="V290" s="324"/>
      <c r="W290" s="307">
        <f>N290+Q290+S290+U290</f>
        <v>991.25</v>
      </c>
      <c r="X290" s="307">
        <f t="shared" si="239"/>
        <v>65</v>
      </c>
      <c r="Y290" s="307">
        <f t="shared" si="237"/>
        <v>5</v>
      </c>
      <c r="Z290" s="325"/>
      <c r="AA290" s="325"/>
      <c r="AB290" s="324"/>
      <c r="AC290" s="325"/>
      <c r="AD290" s="324"/>
      <c r="AE290" s="307"/>
      <c r="AF290" s="325"/>
      <c r="AG290" s="325"/>
      <c r="AH290" s="325"/>
      <c r="AI290" s="325"/>
      <c r="AJ290" s="324"/>
    </row>
    <row r="291" spans="1:36" ht="21" customHeight="1">
      <c r="A291" s="21"/>
      <c r="B291" s="138" t="s">
        <v>337</v>
      </c>
      <c r="C291" s="141"/>
      <c r="D291" s="313"/>
      <c r="E291" s="314"/>
      <c r="F291" s="319">
        <f>SUM(F283:F290)</f>
        <v>6486.58</v>
      </c>
      <c r="G291" s="320">
        <f>SUM(G283:G290)</f>
        <v>77838.959999999992</v>
      </c>
      <c r="H291" s="320">
        <f>SUM(H283:H290)</f>
        <v>480</v>
      </c>
      <c r="I291" s="320">
        <f>SUM(I284:I290)</f>
        <v>0</v>
      </c>
      <c r="J291" s="320">
        <f>SUM(J283:J290)</f>
        <v>6486.58</v>
      </c>
      <c r="K291" s="320">
        <f>SUM(K283:K290)</f>
        <v>2400</v>
      </c>
      <c r="L291" s="312">
        <f>SUM(L284:L290)</f>
        <v>0</v>
      </c>
      <c r="M291" s="312">
        <f>SUM(M283:M290)</f>
        <v>375</v>
      </c>
      <c r="N291" s="312">
        <f>SUM(N283:N290)+0.01</f>
        <v>5079.6839500000006</v>
      </c>
      <c r="O291" s="312">
        <f>SUM(O283:O290)+0.01</f>
        <v>212.50414999999998</v>
      </c>
      <c r="P291" s="312">
        <f>SUM(P283:P290)</f>
        <v>178.25</v>
      </c>
      <c r="Q291" s="312">
        <f>SUM(Q283:Q290)</f>
        <v>679.57499999999993</v>
      </c>
      <c r="R291" s="312">
        <f>SUM(R283:R290)</f>
        <v>56.631249999999994</v>
      </c>
      <c r="S291" s="312">
        <f>SUM(S283:S290)+0.01</f>
        <v>6032.0619999999999</v>
      </c>
      <c r="T291" s="312">
        <f>SUM(T283:T290)+0.02</f>
        <v>464.02399999999994</v>
      </c>
      <c r="U291" s="312">
        <f>SUM(U283:U290)</f>
        <v>583.22159999999997</v>
      </c>
      <c r="V291" s="312">
        <f>SUM(V283:V290)</f>
        <v>48.601799999999997</v>
      </c>
      <c r="W291" s="312">
        <f>SUM(W283:W290)+0.01</f>
        <v>12374.54255</v>
      </c>
      <c r="X291" s="312">
        <f>SUM(X283:X290)</f>
        <v>804.27359999999999</v>
      </c>
      <c r="Y291" s="312">
        <f>SUM(Y283:Y290)</f>
        <v>61.867200000000004</v>
      </c>
      <c r="Z291" s="312"/>
      <c r="AA291" s="312"/>
      <c r="AB291" s="312"/>
      <c r="AC291" s="312"/>
      <c r="AD291" s="312"/>
      <c r="AE291" s="312"/>
      <c r="AF291" s="312"/>
      <c r="AG291" s="312"/>
      <c r="AH291" s="312"/>
      <c r="AI291" s="312"/>
      <c r="AJ291" s="312"/>
    </row>
    <row r="292" spans="1:36" ht="19.5">
      <c r="A292" s="21">
        <f>A290+1</f>
        <v>230</v>
      </c>
      <c r="B292" s="147" t="s">
        <v>781</v>
      </c>
      <c r="C292" s="107" t="s">
        <v>772</v>
      </c>
      <c r="D292" s="313" t="s">
        <v>79</v>
      </c>
      <c r="E292" s="314" t="s">
        <v>351</v>
      </c>
      <c r="F292" s="315">
        <v>1000</v>
      </c>
      <c r="G292" s="316">
        <f t="shared" ref="G292:G300" si="241">F292*12</f>
        <v>12000</v>
      </c>
      <c r="H292" s="316">
        <v>60</v>
      </c>
      <c r="I292" s="323"/>
      <c r="J292" s="315">
        <f t="shared" ref="J292:J301" si="242">F292</f>
        <v>1000</v>
      </c>
      <c r="K292" s="316">
        <v>300</v>
      </c>
      <c r="L292" s="324"/>
      <c r="M292" s="307">
        <v>125</v>
      </c>
      <c r="N292" s="307">
        <f t="shared" ref="N292:N301" si="243">F292*0.0775*13</f>
        <v>1007.5</v>
      </c>
      <c r="O292" s="307">
        <f>N292/13</f>
        <v>77.5</v>
      </c>
      <c r="P292" s="307"/>
      <c r="Q292" s="324"/>
      <c r="R292" s="324"/>
      <c r="S292" s="307">
        <f t="shared" ref="S292:S301" si="244">F292*0.075*13</f>
        <v>975</v>
      </c>
      <c r="T292" s="307">
        <f t="shared" ref="T292:T298" si="245">S292/13</f>
        <v>75</v>
      </c>
      <c r="U292" s="324"/>
      <c r="V292" s="324"/>
      <c r="W292" s="307">
        <f t="shared" ref="W292:W298" si="246">N292+Q292+S292+U292</f>
        <v>1982.5</v>
      </c>
      <c r="X292" s="307">
        <f t="shared" ref="X292:X301" si="247">F292*0.01*13</f>
        <v>130</v>
      </c>
      <c r="Y292" s="307">
        <f t="shared" ref="Y292:Y298" si="248">X292/13</f>
        <v>10</v>
      </c>
      <c r="Z292" s="325"/>
      <c r="AA292" s="325"/>
      <c r="AB292" s="324"/>
      <c r="AC292" s="325"/>
      <c r="AD292" s="324"/>
      <c r="AE292" s="307"/>
      <c r="AF292" s="325"/>
      <c r="AG292" s="325"/>
      <c r="AH292" s="325"/>
      <c r="AI292" s="325"/>
      <c r="AJ292" s="324"/>
    </row>
    <row r="293" spans="1:36" ht="19.5">
      <c r="A293" s="21">
        <f t="shared" ref="A293:A300" si="249">A292+1</f>
        <v>231</v>
      </c>
      <c r="B293" s="163" t="s">
        <v>342</v>
      </c>
      <c r="C293" s="107" t="s">
        <v>772</v>
      </c>
      <c r="D293" s="313" t="s">
        <v>79</v>
      </c>
      <c r="E293" s="314" t="s">
        <v>351</v>
      </c>
      <c r="F293" s="315">
        <v>750</v>
      </c>
      <c r="G293" s="316">
        <f t="shared" si="241"/>
        <v>9000</v>
      </c>
      <c r="H293" s="316">
        <v>60</v>
      </c>
      <c r="I293" s="323"/>
      <c r="J293" s="315">
        <f t="shared" si="242"/>
        <v>750</v>
      </c>
      <c r="K293" s="316">
        <v>300</v>
      </c>
      <c r="L293" s="324"/>
      <c r="M293" s="307">
        <v>125</v>
      </c>
      <c r="N293" s="307">
        <f t="shared" si="243"/>
        <v>755.625</v>
      </c>
      <c r="O293" s="321"/>
      <c r="P293" s="307">
        <f>N293/13</f>
        <v>58.125</v>
      </c>
      <c r="Q293" s="307"/>
      <c r="R293" s="307"/>
      <c r="S293" s="307">
        <f t="shared" si="244"/>
        <v>731.25</v>
      </c>
      <c r="T293" s="307">
        <f>S293/13</f>
        <v>56.25</v>
      </c>
      <c r="U293" s="307"/>
      <c r="V293" s="307"/>
      <c r="W293" s="307">
        <f t="shared" si="246"/>
        <v>1486.875</v>
      </c>
      <c r="X293" s="307">
        <f t="shared" si="247"/>
        <v>97.5</v>
      </c>
      <c r="Y293" s="307">
        <f>X293/13</f>
        <v>7.5</v>
      </c>
      <c r="Z293" s="325"/>
      <c r="AA293" s="325"/>
      <c r="AB293" s="324"/>
      <c r="AC293" s="325"/>
      <c r="AD293" s="324"/>
      <c r="AE293" s="307"/>
      <c r="AF293" s="325"/>
      <c r="AG293" s="325"/>
      <c r="AH293" s="325"/>
      <c r="AI293" s="325"/>
      <c r="AJ293" s="324"/>
    </row>
    <row r="294" spans="1:36">
      <c r="A294" s="21">
        <f t="shared" si="249"/>
        <v>232</v>
      </c>
      <c r="B294" s="165" t="s">
        <v>308</v>
      </c>
      <c r="C294" s="107" t="s">
        <v>772</v>
      </c>
      <c r="D294" s="313" t="s">
        <v>759</v>
      </c>
      <c r="E294" s="314" t="s">
        <v>351</v>
      </c>
      <c r="F294" s="315">
        <v>600</v>
      </c>
      <c r="G294" s="316">
        <f t="shared" si="241"/>
        <v>7200</v>
      </c>
      <c r="H294" s="316">
        <v>60</v>
      </c>
      <c r="I294" s="323"/>
      <c r="J294" s="315">
        <f t="shared" si="242"/>
        <v>600</v>
      </c>
      <c r="K294" s="316">
        <v>300</v>
      </c>
      <c r="L294" s="324"/>
      <c r="M294" s="307"/>
      <c r="N294" s="307">
        <f t="shared" si="243"/>
        <v>604.5</v>
      </c>
      <c r="O294" s="321"/>
      <c r="P294" s="307">
        <f>N294/13</f>
        <v>46.5</v>
      </c>
      <c r="Q294" s="307"/>
      <c r="R294" s="307"/>
      <c r="S294" s="307">
        <f t="shared" si="244"/>
        <v>585</v>
      </c>
      <c r="T294" s="307">
        <f>S294/13</f>
        <v>45</v>
      </c>
      <c r="U294" s="307"/>
      <c r="V294" s="307"/>
      <c r="W294" s="307">
        <f t="shared" si="246"/>
        <v>1189.5</v>
      </c>
      <c r="X294" s="307">
        <f t="shared" si="247"/>
        <v>78</v>
      </c>
      <c r="Y294" s="307">
        <f>X294/13</f>
        <v>6</v>
      </c>
      <c r="Z294" s="325"/>
      <c r="AA294" s="325"/>
      <c r="AB294" s="324"/>
      <c r="AC294" s="325"/>
      <c r="AD294" s="324"/>
      <c r="AE294" s="307"/>
      <c r="AF294" s="325"/>
      <c r="AG294" s="325"/>
      <c r="AH294" s="325"/>
      <c r="AI294" s="325"/>
      <c r="AJ294" s="324"/>
    </row>
    <row r="295" spans="1:36" ht="19.5">
      <c r="A295" s="21">
        <f t="shared" si="249"/>
        <v>233</v>
      </c>
      <c r="B295" s="147" t="s">
        <v>699</v>
      </c>
      <c r="C295" s="107" t="s">
        <v>772</v>
      </c>
      <c r="D295" s="313" t="s">
        <v>79</v>
      </c>
      <c r="E295" s="314" t="s">
        <v>351</v>
      </c>
      <c r="F295" s="315">
        <f>547+50</f>
        <v>597</v>
      </c>
      <c r="G295" s="316">
        <f t="shared" si="241"/>
        <v>7164</v>
      </c>
      <c r="H295" s="316">
        <v>60</v>
      </c>
      <c r="I295" s="323"/>
      <c r="J295" s="316">
        <f t="shared" si="242"/>
        <v>597</v>
      </c>
      <c r="K295" s="316">
        <v>300</v>
      </c>
      <c r="L295" s="324"/>
      <c r="M295" s="307">
        <v>125</v>
      </c>
      <c r="N295" s="307">
        <f t="shared" si="243"/>
        <v>601.47749999999996</v>
      </c>
      <c r="O295" s="321"/>
      <c r="P295" s="307">
        <f>N295/13</f>
        <v>46.267499999999998</v>
      </c>
      <c r="Q295" s="307"/>
      <c r="R295" s="307"/>
      <c r="S295" s="307">
        <f t="shared" si="244"/>
        <v>582.07499999999993</v>
      </c>
      <c r="T295" s="307">
        <f>S295/13</f>
        <v>44.774999999999991</v>
      </c>
      <c r="U295" s="307"/>
      <c r="V295" s="307"/>
      <c r="W295" s="307">
        <f t="shared" si="246"/>
        <v>1183.5524999999998</v>
      </c>
      <c r="X295" s="307">
        <f t="shared" si="247"/>
        <v>77.61</v>
      </c>
      <c r="Y295" s="307">
        <f>X295/13</f>
        <v>5.97</v>
      </c>
      <c r="Z295" s="325"/>
      <c r="AA295" s="325"/>
      <c r="AB295" s="324"/>
      <c r="AC295" s="325"/>
      <c r="AD295" s="324"/>
      <c r="AE295" s="307"/>
      <c r="AF295" s="325"/>
      <c r="AG295" s="325"/>
      <c r="AH295" s="325"/>
      <c r="AI295" s="325"/>
      <c r="AJ295" s="324"/>
    </row>
    <row r="296" spans="1:36" ht="19.5">
      <c r="A296" s="21">
        <f t="shared" si="249"/>
        <v>234</v>
      </c>
      <c r="B296" s="147" t="s">
        <v>312</v>
      </c>
      <c r="C296" s="107" t="s">
        <v>772</v>
      </c>
      <c r="D296" s="313" t="s">
        <v>79</v>
      </c>
      <c r="E296" s="314" t="s">
        <v>351</v>
      </c>
      <c r="F296" s="315">
        <v>817</v>
      </c>
      <c r="G296" s="316">
        <f>F296*12</f>
        <v>9804</v>
      </c>
      <c r="H296" s="316">
        <v>60</v>
      </c>
      <c r="I296" s="316"/>
      <c r="J296" s="316">
        <f>F296</f>
        <v>817</v>
      </c>
      <c r="K296" s="316">
        <v>300</v>
      </c>
      <c r="L296" s="307"/>
      <c r="M296" s="307">
        <v>125</v>
      </c>
      <c r="N296" s="307">
        <f t="shared" si="243"/>
        <v>823.12750000000005</v>
      </c>
      <c r="O296" s="315">
        <f>N296/13</f>
        <v>63.317500000000003</v>
      </c>
      <c r="P296" s="307"/>
      <c r="Q296" s="307"/>
      <c r="R296" s="307"/>
      <c r="S296" s="307">
        <f t="shared" si="244"/>
        <v>796.57499999999993</v>
      </c>
      <c r="T296" s="307">
        <f>S296/13</f>
        <v>61.274999999999991</v>
      </c>
      <c r="U296" s="307"/>
      <c r="V296" s="307"/>
      <c r="W296" s="307">
        <f>N296+Q296+S296+U296+0.01</f>
        <v>1619.7124999999999</v>
      </c>
      <c r="X296" s="307">
        <f t="shared" si="247"/>
        <v>106.21</v>
      </c>
      <c r="Y296" s="307">
        <f>X296/13</f>
        <v>8.17</v>
      </c>
      <c r="Z296" s="307"/>
      <c r="AA296" s="307"/>
      <c r="AB296" s="307"/>
      <c r="AC296" s="307"/>
      <c r="AD296" s="307"/>
      <c r="AE296" s="307"/>
      <c r="AF296" s="307"/>
      <c r="AG296" s="307"/>
      <c r="AH296" s="307"/>
      <c r="AI296" s="307"/>
      <c r="AJ296" s="307"/>
    </row>
    <row r="297" spans="1:36" ht="19.5">
      <c r="A297" s="21">
        <f t="shared" si="249"/>
        <v>235</v>
      </c>
      <c r="B297" s="147" t="s">
        <v>312</v>
      </c>
      <c r="C297" s="107" t="s">
        <v>772</v>
      </c>
      <c r="D297" s="313" t="s">
        <v>79</v>
      </c>
      <c r="E297" s="314" t="s">
        <v>351</v>
      </c>
      <c r="F297" s="315">
        <f>627+50</f>
        <v>677</v>
      </c>
      <c r="G297" s="316">
        <f>F297*12</f>
        <v>8124</v>
      </c>
      <c r="H297" s="316">
        <v>60</v>
      </c>
      <c r="I297" s="323"/>
      <c r="J297" s="316">
        <f>F297</f>
        <v>677</v>
      </c>
      <c r="K297" s="316">
        <v>300</v>
      </c>
      <c r="L297" s="324"/>
      <c r="M297" s="307">
        <v>125</v>
      </c>
      <c r="N297" s="307">
        <f t="shared" si="243"/>
        <v>682.07749999999999</v>
      </c>
      <c r="O297" s="307">
        <f>N297/13</f>
        <v>52.467500000000001</v>
      </c>
      <c r="P297" s="307"/>
      <c r="Q297" s="324"/>
      <c r="R297" s="324"/>
      <c r="S297" s="307">
        <f t="shared" si="244"/>
        <v>660.07499999999993</v>
      </c>
      <c r="T297" s="307">
        <f>S297/13</f>
        <v>50.774999999999991</v>
      </c>
      <c r="U297" s="324"/>
      <c r="V297" s="324"/>
      <c r="W297" s="307">
        <f>N297+Q297+S297+U297</f>
        <v>1342.1524999999999</v>
      </c>
      <c r="X297" s="307">
        <f t="shared" si="247"/>
        <v>88.01</v>
      </c>
      <c r="Y297" s="307">
        <f>X297/13</f>
        <v>6.7700000000000005</v>
      </c>
      <c r="Z297" s="325"/>
      <c r="AA297" s="325"/>
      <c r="AB297" s="324"/>
      <c r="AC297" s="325"/>
      <c r="AD297" s="324"/>
      <c r="AE297" s="307"/>
      <c r="AF297" s="325"/>
      <c r="AG297" s="325"/>
      <c r="AH297" s="325"/>
      <c r="AI297" s="325"/>
      <c r="AJ297" s="324"/>
    </row>
    <row r="298" spans="1:36" ht="19.5">
      <c r="A298" s="21">
        <f t="shared" si="249"/>
        <v>236</v>
      </c>
      <c r="B298" s="147" t="s">
        <v>315</v>
      </c>
      <c r="C298" s="107" t="s">
        <v>772</v>
      </c>
      <c r="D298" s="313" t="s">
        <v>79</v>
      </c>
      <c r="E298" s="314" t="s">
        <v>351</v>
      </c>
      <c r="F298" s="315">
        <f>600+50</f>
        <v>650</v>
      </c>
      <c r="G298" s="316">
        <f t="shared" si="241"/>
        <v>7800</v>
      </c>
      <c r="H298" s="316">
        <v>60</v>
      </c>
      <c r="I298" s="323"/>
      <c r="J298" s="316">
        <f t="shared" si="242"/>
        <v>650</v>
      </c>
      <c r="K298" s="316">
        <v>300</v>
      </c>
      <c r="L298" s="324"/>
      <c r="M298" s="307">
        <v>125</v>
      </c>
      <c r="N298" s="307">
        <f t="shared" si="243"/>
        <v>654.875</v>
      </c>
      <c r="O298" s="315">
        <f>N298/13</f>
        <v>50.375</v>
      </c>
      <c r="P298" s="307"/>
      <c r="Q298" s="324"/>
      <c r="R298" s="324"/>
      <c r="S298" s="307">
        <f t="shared" si="244"/>
        <v>633.75</v>
      </c>
      <c r="T298" s="307">
        <f t="shared" si="245"/>
        <v>48.75</v>
      </c>
      <c r="U298" s="307"/>
      <c r="V298" s="307"/>
      <c r="W298" s="307">
        <f t="shared" si="246"/>
        <v>1288.625</v>
      </c>
      <c r="X298" s="307">
        <f t="shared" si="247"/>
        <v>84.5</v>
      </c>
      <c r="Y298" s="307">
        <f t="shared" si="248"/>
        <v>6.5</v>
      </c>
      <c r="Z298" s="325"/>
      <c r="AA298" s="325"/>
      <c r="AB298" s="324"/>
      <c r="AC298" s="325"/>
      <c r="AD298" s="324"/>
      <c r="AE298" s="307"/>
      <c r="AF298" s="325"/>
      <c r="AG298" s="325"/>
      <c r="AH298" s="325"/>
      <c r="AI298" s="325"/>
      <c r="AJ298" s="324"/>
    </row>
    <row r="299" spans="1:36">
      <c r="A299" s="21">
        <f t="shared" si="249"/>
        <v>237</v>
      </c>
      <c r="B299" s="335" t="s">
        <v>317</v>
      </c>
      <c r="C299" s="107" t="s">
        <v>772</v>
      </c>
      <c r="D299" s="313" t="s">
        <v>762</v>
      </c>
      <c r="E299" s="314" t="s">
        <v>351</v>
      </c>
      <c r="F299" s="315">
        <v>497</v>
      </c>
      <c r="G299" s="316">
        <f>F299*12</f>
        <v>5964</v>
      </c>
      <c r="H299" s="316">
        <v>60</v>
      </c>
      <c r="I299" s="323"/>
      <c r="J299" s="316">
        <f t="shared" si="242"/>
        <v>497</v>
      </c>
      <c r="K299" s="316">
        <v>300</v>
      </c>
      <c r="L299" s="324"/>
      <c r="M299" s="307"/>
      <c r="N299" s="307">
        <f t="shared" si="243"/>
        <v>500.72749999999996</v>
      </c>
      <c r="O299" s="307">
        <f>N299/13</f>
        <v>38.517499999999998</v>
      </c>
      <c r="P299" s="307"/>
      <c r="Q299" s="324"/>
      <c r="R299" s="324"/>
      <c r="S299" s="307">
        <f t="shared" si="244"/>
        <v>484.57499999999999</v>
      </c>
      <c r="T299" s="307">
        <f>S299/13</f>
        <v>37.274999999999999</v>
      </c>
      <c r="U299" s="324"/>
      <c r="V299" s="324"/>
      <c r="W299" s="307">
        <f>N299+Q299+S299+U299+0.01</f>
        <v>985.3125</v>
      </c>
      <c r="X299" s="307">
        <f t="shared" si="247"/>
        <v>64.61</v>
      </c>
      <c r="Y299" s="307">
        <f>X299/13</f>
        <v>4.97</v>
      </c>
      <c r="Z299" s="325"/>
      <c r="AA299" s="325"/>
      <c r="AB299" s="324"/>
      <c r="AC299" s="325"/>
      <c r="AD299" s="324"/>
      <c r="AE299" s="307"/>
      <c r="AF299" s="325"/>
      <c r="AG299" s="325"/>
      <c r="AH299" s="325"/>
      <c r="AI299" s="325"/>
      <c r="AJ299" s="324"/>
    </row>
    <row r="300" spans="1:36" ht="19.5">
      <c r="A300" s="21">
        <f t="shared" si="249"/>
        <v>238</v>
      </c>
      <c r="B300" s="147" t="s">
        <v>317</v>
      </c>
      <c r="C300" s="107" t="s">
        <v>772</v>
      </c>
      <c r="D300" s="313" t="s">
        <v>79</v>
      </c>
      <c r="E300" s="314" t="s">
        <v>351</v>
      </c>
      <c r="F300" s="315">
        <f>497+20</f>
        <v>517</v>
      </c>
      <c r="G300" s="316">
        <f t="shared" si="241"/>
        <v>6204</v>
      </c>
      <c r="H300" s="316">
        <v>60</v>
      </c>
      <c r="I300" s="323"/>
      <c r="J300" s="316">
        <f t="shared" si="242"/>
        <v>517</v>
      </c>
      <c r="K300" s="316">
        <v>300</v>
      </c>
      <c r="L300" s="324"/>
      <c r="M300" s="307">
        <v>125</v>
      </c>
      <c r="N300" s="307">
        <f t="shared" si="243"/>
        <v>520.87750000000005</v>
      </c>
      <c r="O300" s="307">
        <f>N300/13</f>
        <v>40.067500000000003</v>
      </c>
      <c r="P300" s="307"/>
      <c r="Q300" s="324"/>
      <c r="R300" s="324"/>
      <c r="S300" s="307">
        <f t="shared" si="244"/>
        <v>504.07499999999999</v>
      </c>
      <c r="T300" s="307">
        <f>S300/13</f>
        <v>38.774999999999999</v>
      </c>
      <c r="U300" s="324"/>
      <c r="V300" s="324"/>
      <c r="W300" s="307">
        <f>N300+Q300+S300+U300+0.01</f>
        <v>1024.9625000000001</v>
      </c>
      <c r="X300" s="307">
        <f t="shared" si="247"/>
        <v>67.209999999999994</v>
      </c>
      <c r="Y300" s="307">
        <f>X300/13</f>
        <v>5.17</v>
      </c>
      <c r="Z300" s="325"/>
      <c r="AA300" s="325"/>
      <c r="AB300" s="324"/>
      <c r="AC300" s="325"/>
      <c r="AD300" s="324"/>
      <c r="AE300" s="307"/>
      <c r="AF300" s="325"/>
      <c r="AG300" s="325"/>
      <c r="AH300" s="325"/>
      <c r="AI300" s="325"/>
      <c r="AJ300" s="324"/>
    </row>
    <row r="301" spans="1:36">
      <c r="A301" s="21">
        <f>A300+1</f>
        <v>239</v>
      </c>
      <c r="B301" s="165" t="s">
        <v>319</v>
      </c>
      <c r="C301" s="107" t="s">
        <v>772</v>
      </c>
      <c r="D301" s="313" t="s">
        <v>759</v>
      </c>
      <c r="E301" s="314" t="s">
        <v>351</v>
      </c>
      <c r="F301" s="315">
        <v>417</v>
      </c>
      <c r="G301" s="316">
        <f>F301*12</f>
        <v>5004</v>
      </c>
      <c r="H301" s="316">
        <v>60</v>
      </c>
      <c r="I301" s="316"/>
      <c r="J301" s="316">
        <f t="shared" si="242"/>
        <v>417</v>
      </c>
      <c r="K301" s="316">
        <v>300</v>
      </c>
      <c r="L301" s="307"/>
      <c r="M301" s="307"/>
      <c r="N301" s="307">
        <f t="shared" si="243"/>
        <v>420.12750000000005</v>
      </c>
      <c r="O301" s="321"/>
      <c r="P301" s="307">
        <f>N301/13</f>
        <v>32.317500000000003</v>
      </c>
      <c r="Q301" s="307"/>
      <c r="R301" s="307"/>
      <c r="S301" s="307">
        <f t="shared" si="244"/>
        <v>406.57499999999999</v>
      </c>
      <c r="T301" s="307">
        <f>S301/13</f>
        <v>31.274999999999999</v>
      </c>
      <c r="U301" s="307"/>
      <c r="V301" s="307"/>
      <c r="W301" s="307">
        <f>N301+Q301+S301+U301+0.01</f>
        <v>826.71250000000009</v>
      </c>
      <c r="X301" s="307">
        <f t="shared" si="247"/>
        <v>54.21</v>
      </c>
      <c r="Y301" s="307">
        <f>X301/13</f>
        <v>4.17</v>
      </c>
      <c r="Z301" s="307"/>
      <c r="AA301" s="307"/>
      <c r="AB301" s="307"/>
      <c r="AC301" s="307"/>
      <c r="AD301" s="307"/>
      <c r="AE301" s="307"/>
      <c r="AF301" s="307"/>
      <c r="AG301" s="307"/>
      <c r="AH301" s="307"/>
      <c r="AI301" s="307"/>
      <c r="AJ301" s="307"/>
    </row>
    <row r="302" spans="1:36">
      <c r="A302" s="21"/>
      <c r="B302" s="138" t="s">
        <v>775</v>
      </c>
      <c r="C302" s="317"/>
      <c r="D302" s="313"/>
      <c r="E302" s="314"/>
      <c r="F302" s="319">
        <f>SUM(F292:F301)</f>
        <v>6522</v>
      </c>
      <c r="G302" s="319">
        <f>SUM(G292:G301)</f>
        <v>78264</v>
      </c>
      <c r="H302" s="319">
        <f>SUM(H292:H301)</f>
        <v>600</v>
      </c>
      <c r="I302" s="320"/>
      <c r="J302" s="319">
        <f>SUM(J292:J301)</f>
        <v>6522</v>
      </c>
      <c r="K302" s="319">
        <f>SUM(K292:K301)</f>
        <v>3000</v>
      </c>
      <c r="L302" s="312"/>
      <c r="M302" s="319">
        <f>SUM(M292:M301)</f>
        <v>875</v>
      </c>
      <c r="N302" s="319">
        <f>SUM(N292:N301)+0.02</f>
        <v>6570.9350000000013</v>
      </c>
      <c r="O302" s="319">
        <f>SUM(O292:O301)+0.01</f>
        <v>322.255</v>
      </c>
      <c r="P302" s="319">
        <f>SUM(P292:P301)+0.01</f>
        <v>183.21999999999997</v>
      </c>
      <c r="Q302" s="312">
        <f>SUM(Q292:Q300)</f>
        <v>0</v>
      </c>
      <c r="R302" s="312">
        <f>SUM(R292:R300)</f>
        <v>0</v>
      </c>
      <c r="S302" s="319">
        <f>SUM(S292:S301)+0.03</f>
        <v>6358.9799999999987</v>
      </c>
      <c r="T302" s="319">
        <f t="shared" ref="T302:Y302" si="250">SUM(T292:T301)</f>
        <v>489.14999999999986</v>
      </c>
      <c r="U302" s="312">
        <f t="shared" si="250"/>
        <v>0</v>
      </c>
      <c r="V302" s="312">
        <f t="shared" si="250"/>
        <v>0</v>
      </c>
      <c r="W302" s="319">
        <f t="shared" si="250"/>
        <v>12929.904999999999</v>
      </c>
      <c r="X302" s="319">
        <f t="shared" si="250"/>
        <v>847.86000000000013</v>
      </c>
      <c r="Y302" s="319">
        <f t="shared" si="250"/>
        <v>65.22</v>
      </c>
      <c r="Z302" s="312"/>
      <c r="AA302" s="312"/>
      <c r="AB302" s="312"/>
      <c r="AC302" s="312"/>
      <c r="AD302" s="312"/>
      <c r="AE302" s="312"/>
      <c r="AF302" s="312"/>
      <c r="AG302" s="312"/>
      <c r="AH302" s="312"/>
      <c r="AI302" s="312"/>
      <c r="AJ302" s="312"/>
    </row>
    <row r="303" spans="1:36">
      <c r="A303" s="55"/>
      <c r="B303" s="471" t="s">
        <v>673</v>
      </c>
      <c r="C303" s="476"/>
      <c r="D303" s="476"/>
      <c r="E303" s="472"/>
      <c r="F303" s="319">
        <f>SUM(F302,F291)</f>
        <v>13008.58</v>
      </c>
      <c r="G303" s="319">
        <f t="shared" ref="G303:AJ303" si="251">SUM(G302,G291)</f>
        <v>156102.96</v>
      </c>
      <c r="H303" s="319">
        <f t="shared" si="251"/>
        <v>1080</v>
      </c>
      <c r="I303" s="319">
        <f t="shared" si="251"/>
        <v>0</v>
      </c>
      <c r="J303" s="319">
        <f t="shared" si="251"/>
        <v>13008.58</v>
      </c>
      <c r="K303" s="319">
        <f t="shared" si="251"/>
        <v>5400</v>
      </c>
      <c r="L303" s="319">
        <f t="shared" si="251"/>
        <v>0</v>
      </c>
      <c r="M303" s="319">
        <f t="shared" si="251"/>
        <v>1250</v>
      </c>
      <c r="N303" s="319">
        <f t="shared" si="251"/>
        <v>11650.618950000002</v>
      </c>
      <c r="O303" s="319">
        <f t="shared" si="251"/>
        <v>534.75914999999998</v>
      </c>
      <c r="P303" s="319">
        <f t="shared" si="251"/>
        <v>361.46999999999997</v>
      </c>
      <c r="Q303" s="319">
        <f t="shared" si="251"/>
        <v>679.57499999999993</v>
      </c>
      <c r="R303" s="319">
        <f t="shared" si="251"/>
        <v>56.631249999999994</v>
      </c>
      <c r="S303" s="319">
        <f t="shared" si="251"/>
        <v>12391.041999999998</v>
      </c>
      <c r="T303" s="319">
        <f t="shared" si="251"/>
        <v>953.17399999999975</v>
      </c>
      <c r="U303" s="319">
        <f t="shared" si="251"/>
        <v>583.22159999999997</v>
      </c>
      <c r="V303" s="319">
        <f t="shared" si="251"/>
        <v>48.601799999999997</v>
      </c>
      <c r="W303" s="319">
        <f t="shared" si="251"/>
        <v>25304.447549999997</v>
      </c>
      <c r="X303" s="319">
        <f t="shared" si="251"/>
        <v>1652.1336000000001</v>
      </c>
      <c r="Y303" s="319">
        <f t="shared" si="251"/>
        <v>127.0872</v>
      </c>
      <c r="Z303" s="319">
        <f t="shared" si="251"/>
        <v>0</v>
      </c>
      <c r="AA303" s="319">
        <f t="shared" si="251"/>
        <v>0</v>
      </c>
      <c r="AB303" s="319">
        <f t="shared" si="251"/>
        <v>0</v>
      </c>
      <c r="AC303" s="319">
        <f t="shared" si="251"/>
        <v>0</v>
      </c>
      <c r="AD303" s="319">
        <f t="shared" si="251"/>
        <v>0</v>
      </c>
      <c r="AE303" s="319">
        <f t="shared" si="251"/>
        <v>0</v>
      </c>
      <c r="AF303" s="319">
        <f t="shared" si="251"/>
        <v>0</v>
      </c>
      <c r="AG303" s="319">
        <f t="shared" si="251"/>
        <v>0</v>
      </c>
      <c r="AH303" s="319">
        <f t="shared" si="251"/>
        <v>0</v>
      </c>
      <c r="AI303" s="319">
        <f t="shared" si="251"/>
        <v>0</v>
      </c>
      <c r="AJ303" s="319">
        <f t="shared" si="251"/>
        <v>0</v>
      </c>
    </row>
    <row r="304" spans="1:36" ht="20.25" customHeight="1">
      <c r="A304" s="55">
        <f>A301+1</f>
        <v>240</v>
      </c>
      <c r="B304" s="345" t="s">
        <v>674</v>
      </c>
      <c r="C304" s="364" t="s">
        <v>675</v>
      </c>
      <c r="D304" s="313" t="s">
        <v>762</v>
      </c>
      <c r="E304" s="314" t="s">
        <v>715</v>
      </c>
      <c r="F304" s="315">
        <v>800</v>
      </c>
      <c r="G304" s="316">
        <f>F304*12</f>
        <v>9600</v>
      </c>
      <c r="H304" s="316">
        <v>60</v>
      </c>
      <c r="I304" s="323"/>
      <c r="J304" s="316">
        <f>F304</f>
        <v>800</v>
      </c>
      <c r="K304" s="316">
        <v>300</v>
      </c>
      <c r="L304" s="324"/>
      <c r="M304" s="307"/>
      <c r="N304" s="307">
        <f>F304*0.0775*13</f>
        <v>806</v>
      </c>
      <c r="O304" s="321"/>
      <c r="P304" s="307">
        <f>N304/13</f>
        <v>62</v>
      </c>
      <c r="Q304" s="307"/>
      <c r="R304" s="307"/>
      <c r="S304" s="307">
        <f>F304*0.075*13</f>
        <v>780</v>
      </c>
      <c r="T304" s="307">
        <f>S304/13</f>
        <v>60</v>
      </c>
      <c r="U304" s="307"/>
      <c r="V304" s="307"/>
      <c r="W304" s="307">
        <f>N304+Q304+S304+U304</f>
        <v>1586</v>
      </c>
      <c r="X304" s="307">
        <f>F304*0.01*13</f>
        <v>104</v>
      </c>
      <c r="Y304" s="307">
        <f>X304/13</f>
        <v>8</v>
      </c>
      <c r="Z304" s="325"/>
      <c r="AA304" s="325"/>
      <c r="AB304" s="324"/>
      <c r="AC304" s="325"/>
      <c r="AD304" s="324"/>
      <c r="AE304" s="307"/>
      <c r="AF304" s="325"/>
      <c r="AG304" s="325"/>
      <c r="AH304" s="325"/>
      <c r="AI304" s="325"/>
      <c r="AJ304" s="324"/>
    </row>
    <row r="305" spans="1:36" ht="20.25" customHeight="1">
      <c r="A305" s="55">
        <f>A304+1</f>
        <v>241</v>
      </c>
      <c r="B305" s="345" t="s">
        <v>162</v>
      </c>
      <c r="C305" s="364" t="s">
        <v>675</v>
      </c>
      <c r="D305" s="313" t="s">
        <v>762</v>
      </c>
      <c r="E305" s="314" t="s">
        <v>715</v>
      </c>
      <c r="F305" s="315">
        <v>417</v>
      </c>
      <c r="G305" s="316">
        <f>F305*12</f>
        <v>5004</v>
      </c>
      <c r="H305" s="316">
        <v>60</v>
      </c>
      <c r="I305" s="323"/>
      <c r="J305" s="316">
        <f>F305</f>
        <v>417</v>
      </c>
      <c r="K305" s="316">
        <v>300</v>
      </c>
      <c r="L305" s="324"/>
      <c r="M305" s="307"/>
      <c r="N305" s="307">
        <f>F305*0.0775*13</f>
        <v>420.12750000000005</v>
      </c>
      <c r="O305" s="321"/>
      <c r="P305" s="307">
        <f>N305/13</f>
        <v>32.317500000000003</v>
      </c>
      <c r="Q305" s="307"/>
      <c r="R305" s="307"/>
      <c r="S305" s="307">
        <f>F305*0.075*13</f>
        <v>406.57499999999999</v>
      </c>
      <c r="T305" s="307">
        <f>S305/13</f>
        <v>31.274999999999999</v>
      </c>
      <c r="U305" s="307"/>
      <c r="V305" s="307"/>
      <c r="W305" s="307">
        <f>N305+Q305+S305+U305+0.01</f>
        <v>826.71250000000009</v>
      </c>
      <c r="X305" s="307">
        <f>F305*0.01*13</f>
        <v>54.21</v>
      </c>
      <c r="Y305" s="307">
        <f>X305/13</f>
        <v>4.17</v>
      </c>
      <c r="Z305" s="325"/>
      <c r="AA305" s="325"/>
      <c r="AB305" s="324"/>
      <c r="AC305" s="325"/>
      <c r="AD305" s="324"/>
      <c r="AE305" s="307"/>
      <c r="AF305" s="325"/>
      <c r="AG305" s="325"/>
      <c r="AH305" s="325"/>
      <c r="AI305" s="325"/>
      <c r="AJ305" s="324"/>
    </row>
    <row r="306" spans="1:36" ht="20.25" customHeight="1">
      <c r="A306" s="55">
        <f>A305+1</f>
        <v>242</v>
      </c>
      <c r="B306" s="345" t="s">
        <v>688</v>
      </c>
      <c r="C306" s="364" t="s">
        <v>675</v>
      </c>
      <c r="D306" s="313" t="s">
        <v>762</v>
      </c>
      <c r="E306" s="314" t="s">
        <v>715</v>
      </c>
      <c r="F306" s="315">
        <v>500</v>
      </c>
      <c r="G306" s="316">
        <f t="shared" ref="G306" si="252">F306*12</f>
        <v>6000</v>
      </c>
      <c r="H306" s="316">
        <v>60</v>
      </c>
      <c r="I306" s="323"/>
      <c r="J306" s="316">
        <f>F306</f>
        <v>500</v>
      </c>
      <c r="K306" s="316">
        <v>300</v>
      </c>
      <c r="L306" s="324"/>
      <c r="M306" s="307"/>
      <c r="N306" s="307">
        <f>F306*0.0775*13</f>
        <v>503.75</v>
      </c>
      <c r="O306" s="321"/>
      <c r="P306" s="307">
        <f t="shared" ref="P306" si="253">N306/13</f>
        <v>38.75</v>
      </c>
      <c r="Q306" s="307"/>
      <c r="R306" s="307"/>
      <c r="S306" s="307">
        <f>F306*0.075*13</f>
        <v>487.5</v>
      </c>
      <c r="T306" s="307">
        <f t="shared" ref="T306" si="254">S306/13</f>
        <v>37.5</v>
      </c>
      <c r="U306" s="307"/>
      <c r="V306" s="307"/>
      <c r="W306" s="307">
        <f t="shared" ref="W306" si="255">N306+Q306+S306+U306</f>
        <v>991.25</v>
      </c>
      <c r="X306" s="307">
        <f>F306*0.01*13</f>
        <v>65</v>
      </c>
      <c r="Y306" s="307">
        <f t="shared" ref="Y306" si="256">X306/13</f>
        <v>5</v>
      </c>
      <c r="Z306" s="325"/>
      <c r="AA306" s="325"/>
      <c r="AB306" s="324"/>
      <c r="AC306" s="325"/>
      <c r="AD306" s="324"/>
      <c r="AE306" s="307"/>
      <c r="AF306" s="325"/>
      <c r="AG306" s="325"/>
      <c r="AH306" s="325"/>
      <c r="AI306" s="325"/>
      <c r="AJ306" s="324"/>
    </row>
    <row r="307" spans="1:36">
      <c r="A307" s="21"/>
      <c r="B307" s="471"/>
      <c r="C307" s="472"/>
      <c r="D307" s="313"/>
      <c r="E307" s="314"/>
      <c r="F307" s="319"/>
      <c r="G307" s="319"/>
      <c r="H307" s="319"/>
      <c r="I307" s="319"/>
      <c r="J307" s="319"/>
      <c r="K307" s="319"/>
      <c r="L307" s="319"/>
      <c r="M307" s="319"/>
      <c r="N307" s="319"/>
      <c r="O307" s="319"/>
      <c r="P307" s="319"/>
      <c r="Q307" s="319"/>
      <c r="R307" s="319"/>
      <c r="S307" s="319"/>
      <c r="T307" s="319"/>
      <c r="U307" s="319"/>
      <c r="V307" s="319"/>
      <c r="W307" s="319"/>
      <c r="X307" s="319"/>
      <c r="Y307" s="319"/>
      <c r="Z307" s="325"/>
      <c r="AA307" s="325"/>
      <c r="AB307" s="324"/>
      <c r="AC307" s="325"/>
      <c r="AD307" s="324"/>
      <c r="AE307" s="307"/>
      <c r="AF307" s="325"/>
      <c r="AG307" s="325"/>
      <c r="AH307" s="325"/>
      <c r="AI307" s="325"/>
      <c r="AJ307" s="324"/>
    </row>
    <row r="308" spans="1:36" ht="19.5" customHeight="1">
      <c r="A308" s="55">
        <f>A306+1</f>
        <v>243</v>
      </c>
      <c r="B308" s="345" t="s">
        <v>680</v>
      </c>
      <c r="C308" s="364" t="s">
        <v>675</v>
      </c>
      <c r="D308" s="313" t="s">
        <v>762</v>
      </c>
      <c r="E308" s="314" t="s">
        <v>715</v>
      </c>
      <c r="F308" s="315">
        <v>700</v>
      </c>
      <c r="G308" s="316">
        <f>F308*12</f>
        <v>8400</v>
      </c>
      <c r="H308" s="316">
        <v>60</v>
      </c>
      <c r="I308" s="323"/>
      <c r="J308" s="316">
        <f>F308</f>
        <v>700</v>
      </c>
      <c r="K308" s="316">
        <v>300</v>
      </c>
      <c r="L308" s="324"/>
      <c r="M308" s="307"/>
      <c r="N308" s="307">
        <f>F308*0.0775*13</f>
        <v>705.25</v>
      </c>
      <c r="O308" s="321"/>
      <c r="P308" s="307">
        <f>N308/13</f>
        <v>54.25</v>
      </c>
      <c r="Q308" s="307"/>
      <c r="R308" s="307"/>
      <c r="S308" s="307">
        <f>F308*0.075*13</f>
        <v>682.5</v>
      </c>
      <c r="T308" s="307">
        <f>S308/13</f>
        <v>52.5</v>
      </c>
      <c r="U308" s="307"/>
      <c r="V308" s="307"/>
      <c r="W308" s="307">
        <f>N308+Q308+S308+U308</f>
        <v>1387.75</v>
      </c>
      <c r="X308" s="307">
        <f>F308*0.01*13</f>
        <v>91</v>
      </c>
      <c r="Y308" s="307">
        <f>X308/13</f>
        <v>7</v>
      </c>
      <c r="Z308" s="325"/>
      <c r="AA308" s="325"/>
      <c r="AB308" s="324"/>
      <c r="AC308" s="325"/>
      <c r="AD308" s="324"/>
      <c r="AE308" s="307"/>
      <c r="AF308" s="325"/>
      <c r="AG308" s="325"/>
      <c r="AH308" s="325"/>
      <c r="AI308" s="325"/>
      <c r="AJ308" s="324"/>
    </row>
    <row r="309" spans="1:36" ht="21" customHeight="1">
      <c r="A309" s="55">
        <f>A308+1</f>
        <v>244</v>
      </c>
      <c r="B309" s="345" t="s">
        <v>91</v>
      </c>
      <c r="C309" s="364" t="s">
        <v>675</v>
      </c>
      <c r="D309" s="313" t="s">
        <v>762</v>
      </c>
      <c r="E309" s="314" t="s">
        <v>715</v>
      </c>
      <c r="F309" s="315">
        <v>417</v>
      </c>
      <c r="G309" s="316">
        <f t="shared" ref="G309" si="257">F309*12</f>
        <v>5004</v>
      </c>
      <c r="H309" s="316">
        <v>60</v>
      </c>
      <c r="I309" s="323"/>
      <c r="J309" s="316">
        <f>F309</f>
        <v>417</v>
      </c>
      <c r="K309" s="316">
        <v>300</v>
      </c>
      <c r="L309" s="324"/>
      <c r="M309" s="307"/>
      <c r="N309" s="307">
        <f>F309*0.0775*13</f>
        <v>420.12750000000005</v>
      </c>
      <c r="O309" s="321"/>
      <c r="P309" s="307">
        <f t="shared" ref="P309" si="258">N309/13</f>
        <v>32.317500000000003</v>
      </c>
      <c r="Q309" s="307"/>
      <c r="R309" s="307"/>
      <c r="S309" s="307">
        <f>F309*0.075*13</f>
        <v>406.57499999999999</v>
      </c>
      <c r="T309" s="307">
        <f t="shared" ref="T309" si="259">S309/13</f>
        <v>31.274999999999999</v>
      </c>
      <c r="U309" s="307"/>
      <c r="V309" s="307"/>
      <c r="W309" s="307">
        <f>N309+Q309+S309+U309+0.01</f>
        <v>826.71250000000009</v>
      </c>
      <c r="X309" s="307">
        <f>F309*0.01*13</f>
        <v>54.21</v>
      </c>
      <c r="Y309" s="307">
        <f t="shared" ref="Y309" si="260">X309/13</f>
        <v>4.17</v>
      </c>
      <c r="Z309" s="325"/>
      <c r="AA309" s="325"/>
      <c r="AB309" s="324"/>
      <c r="AC309" s="325"/>
      <c r="AD309" s="324"/>
      <c r="AE309" s="307"/>
      <c r="AF309" s="325"/>
      <c r="AG309" s="325"/>
      <c r="AH309" s="325"/>
      <c r="AI309" s="325"/>
      <c r="AJ309" s="324"/>
    </row>
    <row r="310" spans="1:36">
      <c r="A310" s="21"/>
      <c r="B310" s="413" t="s">
        <v>676</v>
      </c>
      <c r="C310" s="414"/>
      <c r="D310" s="414"/>
      <c r="E310" s="415"/>
      <c r="F310" s="319">
        <f>SUM(F309+F308+F306+F305+F304)</f>
        <v>2834</v>
      </c>
      <c r="G310" s="319">
        <f t="shared" ref="G310:Y310" si="261">SUM(G309+G308+G306+G305+G304)</f>
        <v>34008</v>
      </c>
      <c r="H310" s="319">
        <f t="shared" si="261"/>
        <v>300</v>
      </c>
      <c r="I310" s="319">
        <f t="shared" si="261"/>
        <v>0</v>
      </c>
      <c r="J310" s="319">
        <f t="shared" si="261"/>
        <v>2834</v>
      </c>
      <c r="K310" s="319">
        <f t="shared" si="261"/>
        <v>1500</v>
      </c>
      <c r="L310" s="319">
        <f t="shared" si="261"/>
        <v>0</v>
      </c>
      <c r="M310" s="319">
        <f t="shared" si="261"/>
        <v>0</v>
      </c>
      <c r="N310" s="319">
        <f t="shared" si="261"/>
        <v>2855.2550000000001</v>
      </c>
      <c r="O310" s="319">
        <f t="shared" si="261"/>
        <v>0</v>
      </c>
      <c r="P310" s="319">
        <f t="shared" si="261"/>
        <v>219.63499999999999</v>
      </c>
      <c r="Q310" s="319">
        <f t="shared" si="261"/>
        <v>0</v>
      </c>
      <c r="R310" s="319">
        <f t="shared" si="261"/>
        <v>0</v>
      </c>
      <c r="S310" s="319">
        <f>SUM(S309+S308+S306+S305+S304)+0.01</f>
        <v>2763.1600000000003</v>
      </c>
      <c r="T310" s="319">
        <f>SUM(T309+T308+T306+T305+T304)+0.01</f>
        <v>212.56</v>
      </c>
      <c r="U310" s="319">
        <f t="shared" si="261"/>
        <v>0</v>
      </c>
      <c r="V310" s="319">
        <f t="shared" si="261"/>
        <v>0</v>
      </c>
      <c r="W310" s="319">
        <f t="shared" si="261"/>
        <v>5618.4250000000002</v>
      </c>
      <c r="X310" s="319">
        <f t="shared" si="261"/>
        <v>368.42</v>
      </c>
      <c r="Y310" s="319">
        <f t="shared" si="261"/>
        <v>28.340000000000003</v>
      </c>
      <c r="Z310" s="325"/>
      <c r="AA310" s="325"/>
      <c r="AB310" s="324"/>
      <c r="AC310" s="325"/>
      <c r="AD310" s="324"/>
      <c r="AE310" s="307"/>
      <c r="AF310" s="325"/>
      <c r="AG310" s="325"/>
      <c r="AH310" s="325"/>
      <c r="AI310" s="325"/>
      <c r="AJ310" s="324"/>
    </row>
    <row r="311" spans="1:36" ht="21" customHeight="1">
      <c r="A311" s="55">
        <f>A309+1</f>
        <v>245</v>
      </c>
      <c r="B311" s="165" t="s">
        <v>451</v>
      </c>
      <c r="C311" s="364" t="s">
        <v>452</v>
      </c>
      <c r="D311" s="313" t="s">
        <v>759</v>
      </c>
      <c r="E311" s="314" t="s">
        <v>715</v>
      </c>
      <c r="F311" s="315">
        <v>1000</v>
      </c>
      <c r="G311" s="316">
        <f t="shared" ref="G311:G376" si="262">F311*12</f>
        <v>12000</v>
      </c>
      <c r="H311" s="316">
        <v>60</v>
      </c>
      <c r="I311" s="323"/>
      <c r="J311" s="316">
        <f>F311</f>
        <v>1000</v>
      </c>
      <c r="K311" s="316">
        <v>300</v>
      </c>
      <c r="L311" s="324"/>
      <c r="M311" s="307"/>
      <c r="N311" s="307">
        <f>F311*0.0775*13</f>
        <v>1007.5</v>
      </c>
      <c r="O311" s="307">
        <f>N311/13</f>
        <v>77.5</v>
      </c>
      <c r="P311" s="307"/>
      <c r="Q311" s="307"/>
      <c r="R311" s="307"/>
      <c r="S311" s="307">
        <f>F311*0.075*13</f>
        <v>975</v>
      </c>
      <c r="T311" s="307">
        <f t="shared" ref="T311:T376" si="263">S311/13</f>
        <v>75</v>
      </c>
      <c r="U311" s="307"/>
      <c r="V311" s="307"/>
      <c r="W311" s="307">
        <f>N311+Q311+S311+U311</f>
        <v>1982.5</v>
      </c>
      <c r="X311" s="307">
        <f>F311*0.01*13</f>
        <v>130</v>
      </c>
      <c r="Y311" s="307">
        <f>X311/13</f>
        <v>10</v>
      </c>
      <c r="Z311" s="307">
        <f>F311/30/7*1.5*45</f>
        <v>321.42857142857139</v>
      </c>
      <c r="AA311" s="307">
        <f>Z311*0.0775</f>
        <v>24.910714285714281</v>
      </c>
      <c r="AB311" s="307"/>
      <c r="AC311" s="307">
        <f>Z311*0.075</f>
        <v>24.107142857142854</v>
      </c>
      <c r="AD311" s="307"/>
      <c r="AE311" s="307">
        <f>AA311+AB311+AC311+AD311</f>
        <v>49.017857142857139</v>
      </c>
      <c r="AF311" s="307">
        <f>Z311*0.01</f>
        <v>3.214285714285714</v>
      </c>
      <c r="AG311" s="325"/>
      <c r="AH311" s="325"/>
      <c r="AI311" s="324"/>
      <c r="AJ311" s="324"/>
    </row>
    <row r="312" spans="1:36" ht="21.75" customHeight="1">
      <c r="A312" s="21">
        <f t="shared" ref="A312:A332" si="264">A311+1</f>
        <v>246</v>
      </c>
      <c r="B312" s="147" t="s">
        <v>454</v>
      </c>
      <c r="C312" s="364" t="s">
        <v>452</v>
      </c>
      <c r="D312" s="313" t="s">
        <v>79</v>
      </c>
      <c r="E312" s="314" t="s">
        <v>715</v>
      </c>
      <c r="F312" s="315">
        <f>745+30+50</f>
        <v>825</v>
      </c>
      <c r="G312" s="316">
        <f t="shared" si="262"/>
        <v>9900</v>
      </c>
      <c r="H312" s="316">
        <v>60</v>
      </c>
      <c r="I312" s="323"/>
      <c r="J312" s="316">
        <f>F312</f>
        <v>825</v>
      </c>
      <c r="K312" s="316">
        <v>300</v>
      </c>
      <c r="L312" s="324"/>
      <c r="M312" s="307">
        <v>125</v>
      </c>
      <c r="N312" s="307">
        <f>F312*0.0775*13</f>
        <v>831.1875</v>
      </c>
      <c r="O312" s="307">
        <f>N312/13</f>
        <v>63.9375</v>
      </c>
      <c r="P312" s="307"/>
      <c r="Q312" s="307"/>
      <c r="R312" s="307"/>
      <c r="S312" s="307">
        <f>F312*0.075*13</f>
        <v>804.375</v>
      </c>
      <c r="T312" s="307">
        <f t="shared" si="263"/>
        <v>61.875</v>
      </c>
      <c r="U312" s="307"/>
      <c r="V312" s="307"/>
      <c r="W312" s="307">
        <f>N312+Q312+S312+U312+0.01</f>
        <v>1635.5725</v>
      </c>
      <c r="X312" s="307">
        <f>F312*0.01*13</f>
        <v>107.25</v>
      </c>
      <c r="Y312" s="307">
        <f>X312/13</f>
        <v>8.25</v>
      </c>
      <c r="Z312" s="307">
        <f>F312/30/7*1.5*45</f>
        <v>265.17857142857139</v>
      </c>
      <c r="AA312" s="307">
        <f>Z312*0.0775</f>
        <v>20.551339285714281</v>
      </c>
      <c r="AB312" s="307"/>
      <c r="AC312" s="307">
        <f>Z312*0.075</f>
        <v>19.888392857142854</v>
      </c>
      <c r="AD312" s="307"/>
      <c r="AE312" s="307">
        <f>AA312+AB312+AC312+AD312</f>
        <v>40.439732142857139</v>
      </c>
      <c r="AF312" s="307">
        <f>Z312*0.01</f>
        <v>2.651785714285714</v>
      </c>
      <c r="AG312" s="325"/>
      <c r="AH312" s="325"/>
      <c r="AI312" s="324"/>
      <c r="AJ312" s="324"/>
    </row>
    <row r="313" spans="1:36" ht="18.75" customHeight="1">
      <c r="A313" s="21">
        <f t="shared" si="264"/>
        <v>247</v>
      </c>
      <c r="B313" s="165" t="s">
        <v>110</v>
      </c>
      <c r="C313" s="364" t="s">
        <v>452</v>
      </c>
      <c r="D313" s="313" t="s">
        <v>759</v>
      </c>
      <c r="E313" s="314" t="s">
        <v>715</v>
      </c>
      <c r="F313" s="315">
        <v>500</v>
      </c>
      <c r="G313" s="316">
        <f>F313*12</f>
        <v>6000</v>
      </c>
      <c r="H313" s="316">
        <v>60</v>
      </c>
      <c r="I313" s="323"/>
      <c r="J313" s="316">
        <f>F313</f>
        <v>500</v>
      </c>
      <c r="K313" s="316">
        <v>300</v>
      </c>
      <c r="L313" s="324"/>
      <c r="M313" s="307"/>
      <c r="N313" s="307">
        <f>F313*0.0775*13</f>
        <v>503.75</v>
      </c>
      <c r="O313" s="307">
        <f>N313/13</f>
        <v>38.75</v>
      </c>
      <c r="P313" s="307"/>
      <c r="Q313" s="307"/>
      <c r="R313" s="307"/>
      <c r="S313" s="307">
        <f>F313*0.075*13</f>
        <v>487.5</v>
      </c>
      <c r="T313" s="307">
        <f>S313/13</f>
        <v>37.5</v>
      </c>
      <c r="U313" s="307"/>
      <c r="V313" s="307"/>
      <c r="W313" s="307">
        <f>N313+Q313+S313+U313</f>
        <v>991.25</v>
      </c>
      <c r="X313" s="307">
        <f>F313*0.01*13</f>
        <v>65</v>
      </c>
      <c r="Y313" s="307">
        <f>X313/13</f>
        <v>5</v>
      </c>
      <c r="Z313" s="307">
        <f>F313/30/7*1.5*45</f>
        <v>160.71428571428569</v>
      </c>
      <c r="AA313" s="307">
        <f t="shared" ref="AA313:AA315" si="265">Z313*0.0775</f>
        <v>12.455357142857141</v>
      </c>
      <c r="AB313" s="307"/>
      <c r="AC313" s="307">
        <f t="shared" ref="AC313:AC315" si="266">Z313*0.075</f>
        <v>12.053571428571427</v>
      </c>
      <c r="AD313" s="307"/>
      <c r="AE313" s="307">
        <f t="shared" ref="AE313:AE315" si="267">AA313+AB313+AC313+AD313</f>
        <v>24.508928571428569</v>
      </c>
      <c r="AF313" s="307">
        <f t="shared" ref="AF313:AF315" si="268">Z313*0.01</f>
        <v>1.607142857142857</v>
      </c>
      <c r="AG313" s="325"/>
      <c r="AH313" s="325"/>
      <c r="AI313" s="325"/>
      <c r="AJ313" s="324"/>
    </row>
    <row r="314" spans="1:36" ht="19.5">
      <c r="A314" s="21">
        <f t="shared" si="264"/>
        <v>248</v>
      </c>
      <c r="B314" s="147" t="s">
        <v>83</v>
      </c>
      <c r="C314" s="364" t="s">
        <v>452</v>
      </c>
      <c r="D314" s="313" t="s">
        <v>79</v>
      </c>
      <c r="E314" s="314" t="s">
        <v>715</v>
      </c>
      <c r="F314" s="315">
        <f>497+20</f>
        <v>517</v>
      </c>
      <c r="G314" s="316">
        <f>F314*12</f>
        <v>6204</v>
      </c>
      <c r="H314" s="316">
        <v>60</v>
      </c>
      <c r="I314" s="323"/>
      <c r="J314" s="316">
        <f>F314</f>
        <v>517</v>
      </c>
      <c r="K314" s="316">
        <v>300</v>
      </c>
      <c r="L314" s="324"/>
      <c r="M314" s="307">
        <v>125</v>
      </c>
      <c r="N314" s="307">
        <f>F314*0.0775*13</f>
        <v>520.87750000000005</v>
      </c>
      <c r="O314" s="307">
        <f>N314/13</f>
        <v>40.067500000000003</v>
      </c>
      <c r="P314" s="307"/>
      <c r="Q314" s="307"/>
      <c r="R314" s="307"/>
      <c r="S314" s="307">
        <f>F314*0.075*13</f>
        <v>504.07499999999999</v>
      </c>
      <c r="T314" s="307">
        <f>S314/13</f>
        <v>38.774999999999999</v>
      </c>
      <c r="U314" s="307"/>
      <c r="V314" s="307"/>
      <c r="W314" s="307">
        <f>N314+Q314+S314+U314+0.01</f>
        <v>1024.9625000000001</v>
      </c>
      <c r="X314" s="307">
        <f>F314*0.01*13</f>
        <v>67.209999999999994</v>
      </c>
      <c r="Y314" s="307">
        <f>X314/13</f>
        <v>5.17</v>
      </c>
      <c r="Z314" s="307">
        <f>F314/30/7*1.5*45</f>
        <v>166.17857142857144</v>
      </c>
      <c r="AA314" s="307">
        <f t="shared" ref="AA314" si="269">Z314*0.0775</f>
        <v>12.878839285714287</v>
      </c>
      <c r="AB314" s="307"/>
      <c r="AC314" s="307">
        <f t="shared" ref="AC314" si="270">Z314*0.075</f>
        <v>12.463392857142859</v>
      </c>
      <c r="AD314" s="307"/>
      <c r="AE314" s="307">
        <f t="shared" ref="AE314" si="271">AA314+AB314+AC314+AD314</f>
        <v>25.342232142857146</v>
      </c>
      <c r="AF314" s="307">
        <f t="shared" ref="AF314" si="272">Z314*0.01</f>
        <v>1.6617857142857144</v>
      </c>
      <c r="AG314" s="325"/>
      <c r="AH314" s="325"/>
      <c r="AI314" s="325"/>
      <c r="AJ314" s="324"/>
    </row>
    <row r="315" spans="1:36" ht="19.5">
      <c r="A315" s="21">
        <f t="shared" si="264"/>
        <v>249</v>
      </c>
      <c r="B315" s="147" t="s">
        <v>740</v>
      </c>
      <c r="C315" s="364" t="s">
        <v>452</v>
      </c>
      <c r="D315" s="313" t="s">
        <v>79</v>
      </c>
      <c r="E315" s="314" t="s">
        <v>715</v>
      </c>
      <c r="F315" s="315">
        <f>497+50</f>
        <v>547</v>
      </c>
      <c r="G315" s="316">
        <f>F315*12</f>
        <v>6564</v>
      </c>
      <c r="H315" s="316">
        <v>60</v>
      </c>
      <c r="I315" s="323"/>
      <c r="J315" s="316">
        <f>F315</f>
        <v>547</v>
      </c>
      <c r="K315" s="316">
        <v>300</v>
      </c>
      <c r="L315" s="324"/>
      <c r="M315" s="307">
        <v>125</v>
      </c>
      <c r="N315" s="307">
        <f>F315*0.0775*13</f>
        <v>551.10249999999996</v>
      </c>
      <c r="O315" s="307">
        <f>N315/13</f>
        <v>42.392499999999998</v>
      </c>
      <c r="P315" s="307"/>
      <c r="Q315" s="307"/>
      <c r="R315" s="307"/>
      <c r="S315" s="307">
        <f>F315*0.075*13</f>
        <v>533.32499999999993</v>
      </c>
      <c r="T315" s="307">
        <f>S315/13</f>
        <v>41.024999999999991</v>
      </c>
      <c r="U315" s="307"/>
      <c r="V315" s="307"/>
      <c r="W315" s="307">
        <f>N315+Q315+S315+U315+0.01</f>
        <v>1084.4374999999998</v>
      </c>
      <c r="X315" s="307">
        <f>F315*0.01*13</f>
        <v>71.11</v>
      </c>
      <c r="Y315" s="307">
        <f>X315/13</f>
        <v>5.47</v>
      </c>
      <c r="Z315" s="307">
        <f>F315/30/7*1.5*45</f>
        <v>175.82142857142858</v>
      </c>
      <c r="AA315" s="307">
        <f t="shared" si="265"/>
        <v>13.626160714285716</v>
      </c>
      <c r="AB315" s="307"/>
      <c r="AC315" s="307">
        <f t="shared" si="266"/>
        <v>13.186607142857143</v>
      </c>
      <c r="AD315" s="307"/>
      <c r="AE315" s="307">
        <f t="shared" si="267"/>
        <v>26.812767857142859</v>
      </c>
      <c r="AF315" s="307">
        <f t="shared" si="268"/>
        <v>1.758214285714286</v>
      </c>
      <c r="AG315" s="325"/>
      <c r="AH315" s="325"/>
      <c r="AI315" s="325"/>
      <c r="AJ315" s="324"/>
    </row>
    <row r="316" spans="1:36">
      <c r="A316" s="21"/>
      <c r="B316" s="138" t="s">
        <v>457</v>
      </c>
      <c r="C316" s="364"/>
      <c r="D316" s="313"/>
      <c r="E316" s="314"/>
      <c r="F316" s="315"/>
      <c r="G316" s="316"/>
      <c r="H316" s="316"/>
      <c r="I316" s="323"/>
      <c r="J316" s="316"/>
      <c r="K316" s="316"/>
      <c r="L316" s="324"/>
      <c r="M316" s="307"/>
      <c r="N316" s="307"/>
      <c r="O316" s="321"/>
      <c r="P316" s="307"/>
      <c r="Q316" s="307"/>
      <c r="R316" s="307"/>
      <c r="S316" s="307"/>
      <c r="T316" s="307"/>
      <c r="U316" s="307"/>
      <c r="V316" s="307"/>
      <c r="W316" s="307"/>
      <c r="X316" s="307"/>
      <c r="Y316" s="307"/>
      <c r="Z316" s="307"/>
      <c r="AA316" s="307"/>
      <c r="AB316" s="307"/>
      <c r="AC316" s="307"/>
      <c r="AD316" s="307"/>
      <c r="AE316" s="307"/>
      <c r="AF316" s="307"/>
      <c r="AG316" s="325"/>
      <c r="AH316" s="325"/>
      <c r="AI316" s="324"/>
      <c r="AJ316" s="324"/>
    </row>
    <row r="317" spans="1:36" ht="18">
      <c r="A317" s="21">
        <f>A315+1</f>
        <v>250</v>
      </c>
      <c r="B317" s="165" t="s">
        <v>459</v>
      </c>
      <c r="C317" s="364" t="s">
        <v>452</v>
      </c>
      <c r="D317" s="313" t="s">
        <v>759</v>
      </c>
      <c r="E317" s="314" t="s">
        <v>715</v>
      </c>
      <c r="F317" s="315">
        <v>700</v>
      </c>
      <c r="G317" s="316">
        <f>F317*12</f>
        <v>8400</v>
      </c>
      <c r="H317" s="316">
        <v>60</v>
      </c>
      <c r="I317" s="323"/>
      <c r="J317" s="316">
        <f t="shared" ref="J317:J333" si="273">F317</f>
        <v>700</v>
      </c>
      <c r="K317" s="316">
        <v>300</v>
      </c>
      <c r="L317" s="324"/>
      <c r="M317" s="307"/>
      <c r="N317" s="307">
        <f t="shared" ref="N317:N348" si="274">F317*0.0775*13</f>
        <v>705.25</v>
      </c>
      <c r="O317" s="307"/>
      <c r="P317" s="307">
        <f>N317/13</f>
        <v>54.25</v>
      </c>
      <c r="Q317" s="307"/>
      <c r="R317" s="307"/>
      <c r="S317" s="307">
        <f t="shared" ref="S317:S348" si="275">F317*0.075*13</f>
        <v>682.5</v>
      </c>
      <c r="T317" s="307">
        <f>S317/13</f>
        <v>52.5</v>
      </c>
      <c r="U317" s="307"/>
      <c r="V317" s="307"/>
      <c r="W317" s="307">
        <f t="shared" ref="W317:W322" si="276">N317+Q317+S317+U317</f>
        <v>1387.75</v>
      </c>
      <c r="X317" s="307">
        <f t="shared" ref="X317:X348" si="277">F317*0.01*13</f>
        <v>91</v>
      </c>
      <c r="Y317" s="307">
        <f>X317/13</f>
        <v>7</v>
      </c>
      <c r="Z317" s="307">
        <f t="shared" ref="Z317:Z348" si="278">F317/30/7*1.5*45</f>
        <v>225</v>
      </c>
      <c r="AA317" s="307">
        <f t="shared" ref="AA317:AA333" si="279">Z317*0.0775</f>
        <v>17.4375</v>
      </c>
      <c r="AB317" s="307"/>
      <c r="AC317" s="307">
        <f t="shared" ref="AC317:AC333" si="280">Z317*0.075</f>
        <v>16.875</v>
      </c>
      <c r="AD317" s="307"/>
      <c r="AE317" s="307">
        <f>AA317+AB317+AC317+AD317+0.01</f>
        <v>34.322499999999998</v>
      </c>
      <c r="AF317" s="307">
        <f t="shared" ref="AF317:AF333" si="281">Z317*0.01</f>
        <v>2.25</v>
      </c>
      <c r="AG317" s="324"/>
      <c r="AH317" s="324"/>
      <c r="AI317" s="324"/>
      <c r="AJ317" s="324"/>
    </row>
    <row r="318" spans="1:36" ht="19.5">
      <c r="A318" s="21">
        <f t="shared" si="264"/>
        <v>251</v>
      </c>
      <c r="B318" s="147" t="s">
        <v>461</v>
      </c>
      <c r="C318" s="364" t="s">
        <v>452</v>
      </c>
      <c r="D318" s="313" t="s">
        <v>79</v>
      </c>
      <c r="E318" s="314" t="s">
        <v>715</v>
      </c>
      <c r="F318" s="315">
        <f>712+30+50+50</f>
        <v>842</v>
      </c>
      <c r="G318" s="316">
        <f>F318*12</f>
        <v>10104</v>
      </c>
      <c r="H318" s="316">
        <v>60</v>
      </c>
      <c r="I318" s="323"/>
      <c r="J318" s="316">
        <f t="shared" si="273"/>
        <v>842</v>
      </c>
      <c r="K318" s="316">
        <v>300</v>
      </c>
      <c r="L318" s="324"/>
      <c r="M318" s="307">
        <v>125</v>
      </c>
      <c r="N318" s="307">
        <f t="shared" si="274"/>
        <v>848.31499999999994</v>
      </c>
      <c r="O318" s="307">
        <f>N318/13</f>
        <v>65.254999999999995</v>
      </c>
      <c r="P318" s="307"/>
      <c r="Q318" s="307"/>
      <c r="R318" s="307"/>
      <c r="S318" s="307">
        <f t="shared" si="275"/>
        <v>820.94999999999993</v>
      </c>
      <c r="T318" s="307">
        <f t="shared" si="263"/>
        <v>63.149999999999991</v>
      </c>
      <c r="U318" s="307"/>
      <c r="V318" s="307"/>
      <c r="W318" s="307">
        <f t="shared" si="276"/>
        <v>1669.2649999999999</v>
      </c>
      <c r="X318" s="307">
        <f t="shared" si="277"/>
        <v>109.46</v>
      </c>
      <c r="Y318" s="307">
        <f t="shared" ref="Y318:Y333" si="282">X318/13</f>
        <v>8.42</v>
      </c>
      <c r="Z318" s="307">
        <f t="shared" si="278"/>
        <v>270.64285714285717</v>
      </c>
      <c r="AA318" s="307">
        <f t="shared" si="279"/>
        <v>20.974821428571431</v>
      </c>
      <c r="AB318" s="307"/>
      <c r="AC318" s="307">
        <f t="shared" si="280"/>
        <v>20.298214285714288</v>
      </c>
      <c r="AD318" s="307"/>
      <c r="AE318" s="307">
        <f>AA318+AB318+AC318+AD318</f>
        <v>41.273035714285719</v>
      </c>
      <c r="AF318" s="307">
        <f t="shared" si="281"/>
        <v>2.7064285714285718</v>
      </c>
      <c r="AG318" s="325"/>
      <c r="AH318" s="325"/>
      <c r="AI318" s="324"/>
      <c r="AJ318" s="324"/>
    </row>
    <row r="319" spans="1:36" ht="19.5">
      <c r="A319" s="21">
        <f t="shared" si="264"/>
        <v>252</v>
      </c>
      <c r="B319" s="147" t="s">
        <v>461</v>
      </c>
      <c r="C319" s="364" t="s">
        <v>452</v>
      </c>
      <c r="D319" s="313" t="s">
        <v>79</v>
      </c>
      <c r="E319" s="314" t="s">
        <v>715</v>
      </c>
      <c r="F319" s="315">
        <f>694.29+30+50+50</f>
        <v>824.29</v>
      </c>
      <c r="G319" s="316">
        <f t="shared" si="262"/>
        <v>9891.48</v>
      </c>
      <c r="H319" s="316">
        <v>60</v>
      </c>
      <c r="I319" s="323"/>
      <c r="J319" s="316">
        <f t="shared" si="273"/>
        <v>824.29</v>
      </c>
      <c r="K319" s="316">
        <v>300</v>
      </c>
      <c r="L319" s="324"/>
      <c r="M319" s="307"/>
      <c r="N319" s="307">
        <f t="shared" si="274"/>
        <v>830.47217499999999</v>
      </c>
      <c r="O319" s="307">
        <f>N319/13</f>
        <v>63.882474999999999</v>
      </c>
      <c r="P319" s="307"/>
      <c r="Q319" s="307"/>
      <c r="R319" s="307"/>
      <c r="S319" s="307">
        <f t="shared" si="275"/>
        <v>803.68274999999994</v>
      </c>
      <c r="T319" s="307">
        <f t="shared" si="263"/>
        <v>61.821749999999994</v>
      </c>
      <c r="U319" s="307"/>
      <c r="V319" s="307"/>
      <c r="W319" s="307">
        <f t="shared" si="276"/>
        <v>1634.1549249999998</v>
      </c>
      <c r="X319" s="307">
        <f t="shared" si="277"/>
        <v>107.15770000000001</v>
      </c>
      <c r="Y319" s="307">
        <f t="shared" si="282"/>
        <v>8.2429000000000006</v>
      </c>
      <c r="Z319" s="307">
        <f t="shared" si="278"/>
        <v>264.95035714285711</v>
      </c>
      <c r="AA319" s="307">
        <f t="shared" si="279"/>
        <v>20.533652678571425</v>
      </c>
      <c r="AB319" s="307"/>
      <c r="AC319" s="307">
        <f t="shared" si="280"/>
        <v>19.871276785714283</v>
      </c>
      <c r="AD319" s="307"/>
      <c r="AE319" s="307">
        <f>AA319+AB319+AC319+AD319+0.01</f>
        <v>40.414929464285706</v>
      </c>
      <c r="AF319" s="307">
        <f t="shared" si="281"/>
        <v>2.6495035714285713</v>
      </c>
      <c r="AG319" s="325"/>
      <c r="AH319" s="325"/>
      <c r="AI319" s="324"/>
      <c r="AJ319" s="324"/>
    </row>
    <row r="320" spans="1:36" ht="19.5">
      <c r="A320" s="21">
        <f t="shared" si="264"/>
        <v>253</v>
      </c>
      <c r="B320" s="147" t="s">
        <v>464</v>
      </c>
      <c r="C320" s="364" t="s">
        <v>452</v>
      </c>
      <c r="D320" s="313" t="s">
        <v>79</v>
      </c>
      <c r="E320" s="314" t="s">
        <v>715</v>
      </c>
      <c r="F320" s="315">
        <f>547+30+50+50</f>
        <v>677</v>
      </c>
      <c r="G320" s="316">
        <f t="shared" si="262"/>
        <v>8124</v>
      </c>
      <c r="H320" s="316">
        <v>60</v>
      </c>
      <c r="I320" s="323"/>
      <c r="J320" s="316">
        <f t="shared" si="273"/>
        <v>677</v>
      </c>
      <c r="K320" s="316">
        <v>300</v>
      </c>
      <c r="L320" s="324"/>
      <c r="M320" s="307"/>
      <c r="N320" s="307">
        <f t="shared" si="274"/>
        <v>682.07749999999999</v>
      </c>
      <c r="O320" s="321"/>
      <c r="P320" s="307">
        <f>N320/13</f>
        <v>52.467500000000001</v>
      </c>
      <c r="Q320" s="307"/>
      <c r="R320" s="307"/>
      <c r="S320" s="307">
        <f t="shared" si="275"/>
        <v>660.07499999999993</v>
      </c>
      <c r="T320" s="307">
        <f t="shared" si="263"/>
        <v>50.774999999999991</v>
      </c>
      <c r="U320" s="307"/>
      <c r="V320" s="307"/>
      <c r="W320" s="307">
        <f t="shared" si="276"/>
        <v>1342.1524999999999</v>
      </c>
      <c r="X320" s="307">
        <f t="shared" si="277"/>
        <v>88.01</v>
      </c>
      <c r="Y320" s="307">
        <f t="shared" si="282"/>
        <v>6.7700000000000005</v>
      </c>
      <c r="Z320" s="307">
        <f t="shared" si="278"/>
        <v>217.60714285714283</v>
      </c>
      <c r="AA320" s="307">
        <f t="shared" si="279"/>
        <v>16.864553571428569</v>
      </c>
      <c r="AB320" s="307"/>
      <c r="AC320" s="307">
        <f t="shared" si="280"/>
        <v>16.320535714285711</v>
      </c>
      <c r="AD320" s="307"/>
      <c r="AE320" s="307">
        <f>AA320+AB320+AC320+AD320+0.01</f>
        <v>33.195089285714282</v>
      </c>
      <c r="AF320" s="307">
        <f t="shared" si="281"/>
        <v>2.1760714285714284</v>
      </c>
      <c r="AG320" s="325"/>
      <c r="AH320" s="325"/>
      <c r="AI320" s="324"/>
      <c r="AJ320" s="324"/>
    </row>
    <row r="321" spans="1:36" ht="19.5">
      <c r="A321" s="21">
        <f t="shared" si="264"/>
        <v>254</v>
      </c>
      <c r="B321" s="147" t="s">
        <v>464</v>
      </c>
      <c r="C321" s="364" t="s">
        <v>452</v>
      </c>
      <c r="D321" s="313" t="s">
        <v>79</v>
      </c>
      <c r="E321" s="314" t="s">
        <v>715</v>
      </c>
      <c r="F321" s="315">
        <f>547+30+50+50</f>
        <v>677</v>
      </c>
      <c r="G321" s="316">
        <f t="shared" si="262"/>
        <v>8124</v>
      </c>
      <c r="H321" s="316">
        <v>60</v>
      </c>
      <c r="I321" s="323"/>
      <c r="J321" s="316">
        <f t="shared" si="273"/>
        <v>677</v>
      </c>
      <c r="K321" s="316">
        <v>300</v>
      </c>
      <c r="L321" s="324"/>
      <c r="M321" s="307">
        <v>125</v>
      </c>
      <c r="N321" s="307">
        <f t="shared" si="274"/>
        <v>682.07749999999999</v>
      </c>
      <c r="O321" s="307">
        <f>N321/13</f>
        <v>52.467500000000001</v>
      </c>
      <c r="P321" s="307"/>
      <c r="Q321" s="307"/>
      <c r="R321" s="307"/>
      <c r="S321" s="307">
        <f t="shared" si="275"/>
        <v>660.07499999999993</v>
      </c>
      <c r="T321" s="307">
        <f t="shared" si="263"/>
        <v>50.774999999999991</v>
      </c>
      <c r="U321" s="307"/>
      <c r="V321" s="307"/>
      <c r="W321" s="307">
        <f t="shared" si="276"/>
        <v>1342.1524999999999</v>
      </c>
      <c r="X321" s="307">
        <f t="shared" si="277"/>
        <v>88.01</v>
      </c>
      <c r="Y321" s="307">
        <f t="shared" si="282"/>
        <v>6.7700000000000005</v>
      </c>
      <c r="Z321" s="307">
        <f t="shared" si="278"/>
        <v>217.60714285714283</v>
      </c>
      <c r="AA321" s="307">
        <f t="shared" si="279"/>
        <v>16.864553571428569</v>
      </c>
      <c r="AB321" s="307"/>
      <c r="AC321" s="307">
        <f t="shared" si="280"/>
        <v>16.320535714285711</v>
      </c>
      <c r="AD321" s="307"/>
      <c r="AE321" s="307">
        <f>AA321+AB321+AC321+AD321+0.01</f>
        <v>33.195089285714282</v>
      </c>
      <c r="AF321" s="307">
        <f t="shared" si="281"/>
        <v>2.1760714285714284</v>
      </c>
      <c r="AG321" s="325"/>
      <c r="AH321" s="325"/>
      <c r="AI321" s="324"/>
      <c r="AJ321" s="324"/>
    </row>
    <row r="322" spans="1:36" ht="19.5">
      <c r="A322" s="21">
        <f t="shared" si="264"/>
        <v>255</v>
      </c>
      <c r="B322" s="147" t="s">
        <v>646</v>
      </c>
      <c r="C322" s="364" t="s">
        <v>452</v>
      </c>
      <c r="D322" s="313" t="s">
        <v>79</v>
      </c>
      <c r="E322" s="314" t="s">
        <v>715</v>
      </c>
      <c r="F322" s="315">
        <f>467+30+50+50</f>
        <v>597</v>
      </c>
      <c r="G322" s="316">
        <f t="shared" si="262"/>
        <v>7164</v>
      </c>
      <c r="H322" s="316">
        <v>60</v>
      </c>
      <c r="I322" s="323"/>
      <c r="J322" s="316">
        <f t="shared" si="273"/>
        <v>597</v>
      </c>
      <c r="K322" s="316">
        <v>300</v>
      </c>
      <c r="L322" s="324"/>
      <c r="M322" s="307"/>
      <c r="N322" s="307">
        <f t="shared" si="274"/>
        <v>601.47749999999996</v>
      </c>
      <c r="O322" s="307"/>
      <c r="P322" s="307">
        <f t="shared" ref="P322:P326" si="283">N322/13</f>
        <v>46.267499999999998</v>
      </c>
      <c r="Q322" s="307"/>
      <c r="R322" s="307"/>
      <c r="S322" s="307">
        <f t="shared" si="275"/>
        <v>582.07499999999993</v>
      </c>
      <c r="T322" s="307">
        <f t="shared" si="263"/>
        <v>44.774999999999991</v>
      </c>
      <c r="U322" s="307"/>
      <c r="V322" s="307"/>
      <c r="W322" s="307">
        <f t="shared" si="276"/>
        <v>1183.5524999999998</v>
      </c>
      <c r="X322" s="307">
        <f t="shared" si="277"/>
        <v>77.61</v>
      </c>
      <c r="Y322" s="307">
        <f t="shared" si="282"/>
        <v>5.97</v>
      </c>
      <c r="Z322" s="307">
        <f t="shared" si="278"/>
        <v>191.89285714285714</v>
      </c>
      <c r="AA322" s="307">
        <f t="shared" si="279"/>
        <v>14.871696428571429</v>
      </c>
      <c r="AB322" s="307"/>
      <c r="AC322" s="307">
        <f t="shared" si="280"/>
        <v>14.391964285714284</v>
      </c>
      <c r="AD322" s="307"/>
      <c r="AE322" s="307">
        <f>AA322+AB322+AC322+AD322+0.01</f>
        <v>29.273660714285715</v>
      </c>
      <c r="AF322" s="307">
        <f t="shared" si="281"/>
        <v>1.9189285714285713</v>
      </c>
      <c r="AG322" s="325"/>
      <c r="AH322" s="325"/>
      <c r="AI322" s="324"/>
      <c r="AJ322" s="324"/>
    </row>
    <row r="323" spans="1:36" ht="18">
      <c r="A323" s="21">
        <f t="shared" si="264"/>
        <v>256</v>
      </c>
      <c r="B323" s="165" t="s">
        <v>646</v>
      </c>
      <c r="C323" s="364" t="s">
        <v>452</v>
      </c>
      <c r="D323" s="313" t="s">
        <v>759</v>
      </c>
      <c r="E323" s="314" t="s">
        <v>715</v>
      </c>
      <c r="F323" s="315">
        <f>417+30+50</f>
        <v>497</v>
      </c>
      <c r="G323" s="316">
        <f>F323*12</f>
        <v>5964</v>
      </c>
      <c r="H323" s="316">
        <v>60</v>
      </c>
      <c r="I323" s="323"/>
      <c r="J323" s="316">
        <f t="shared" si="273"/>
        <v>497</v>
      </c>
      <c r="K323" s="316">
        <v>300</v>
      </c>
      <c r="L323" s="324"/>
      <c r="M323" s="307"/>
      <c r="N323" s="307">
        <f t="shared" si="274"/>
        <v>500.72749999999996</v>
      </c>
      <c r="O323" s="321"/>
      <c r="P323" s="307">
        <f t="shared" si="283"/>
        <v>38.517499999999998</v>
      </c>
      <c r="Q323" s="307"/>
      <c r="R323" s="307"/>
      <c r="S323" s="307">
        <f t="shared" si="275"/>
        <v>484.57499999999999</v>
      </c>
      <c r="T323" s="307">
        <f>S323/13</f>
        <v>37.274999999999999</v>
      </c>
      <c r="U323" s="307"/>
      <c r="V323" s="307"/>
      <c r="W323" s="307">
        <f>N323+Q323+S323+U323+0.01</f>
        <v>985.3125</v>
      </c>
      <c r="X323" s="307">
        <f t="shared" si="277"/>
        <v>64.61</v>
      </c>
      <c r="Y323" s="307">
        <f>X323/13</f>
        <v>4.97</v>
      </c>
      <c r="Z323" s="307">
        <f t="shared" si="278"/>
        <v>159.75</v>
      </c>
      <c r="AA323" s="307">
        <f t="shared" si="279"/>
        <v>12.380625</v>
      </c>
      <c r="AB323" s="307"/>
      <c r="AC323" s="307">
        <f t="shared" si="280"/>
        <v>11.981249999999999</v>
      </c>
      <c r="AD323" s="307"/>
      <c r="AE323" s="307">
        <f>AA323+AB323+AC323+AD323</f>
        <v>24.361874999999998</v>
      </c>
      <c r="AF323" s="307">
        <f t="shared" si="281"/>
        <v>1.5975000000000001</v>
      </c>
      <c r="AG323" s="325"/>
      <c r="AH323" s="325"/>
      <c r="AI323" s="325"/>
      <c r="AJ323" s="324"/>
    </row>
    <row r="324" spans="1:36" ht="19.5">
      <c r="A324" s="21">
        <f t="shared" si="264"/>
        <v>257</v>
      </c>
      <c r="B324" s="147" t="s">
        <v>741</v>
      </c>
      <c r="C324" s="364" t="s">
        <v>452</v>
      </c>
      <c r="D324" s="313" t="s">
        <v>79</v>
      </c>
      <c r="E324" s="314" t="s">
        <v>715</v>
      </c>
      <c r="F324" s="315">
        <f>669.15+30+50+50</f>
        <v>799.15</v>
      </c>
      <c r="G324" s="316">
        <f>F324*12</f>
        <v>9589.7999999999993</v>
      </c>
      <c r="H324" s="316">
        <v>60</v>
      </c>
      <c r="I324" s="323"/>
      <c r="J324" s="316">
        <f>F324</f>
        <v>799.15</v>
      </c>
      <c r="K324" s="316">
        <v>300</v>
      </c>
      <c r="L324" s="324"/>
      <c r="M324" s="307">
        <v>125</v>
      </c>
      <c r="N324" s="307">
        <f t="shared" si="274"/>
        <v>805.14362499999993</v>
      </c>
      <c r="O324" s="307">
        <f>N324/13</f>
        <v>61.934124999999995</v>
      </c>
      <c r="P324" s="307"/>
      <c r="Q324" s="324"/>
      <c r="R324" s="324"/>
      <c r="S324" s="307">
        <f t="shared" si="275"/>
        <v>779.17124999999987</v>
      </c>
      <c r="T324" s="307">
        <f>S324/13</f>
        <v>59.936249999999987</v>
      </c>
      <c r="U324" s="324"/>
      <c r="V324" s="324"/>
      <c r="W324" s="307">
        <f>N324+Q324+S324+U324</f>
        <v>1584.3148749999998</v>
      </c>
      <c r="X324" s="307">
        <f t="shared" si="277"/>
        <v>103.8895</v>
      </c>
      <c r="Y324" s="307">
        <f>X324/13</f>
        <v>7.9915000000000003</v>
      </c>
      <c r="Z324" s="307">
        <f t="shared" si="278"/>
        <v>256.86964285714288</v>
      </c>
      <c r="AA324" s="307">
        <f>Z324*0.0775</f>
        <v>19.907397321428572</v>
      </c>
      <c r="AB324" s="307"/>
      <c r="AC324" s="307">
        <f>Z324*0.075</f>
        <v>19.265223214285715</v>
      </c>
      <c r="AD324" s="307"/>
      <c r="AE324" s="307">
        <f>AA324+AB324+AC324+AD324</f>
        <v>39.172620535714287</v>
      </c>
      <c r="AF324" s="307">
        <f>Z324*0.01</f>
        <v>2.5686964285714287</v>
      </c>
      <c r="AG324" s="325"/>
      <c r="AH324" s="325"/>
      <c r="AI324" s="325"/>
      <c r="AJ324" s="324"/>
    </row>
    <row r="325" spans="1:36" ht="19.5">
      <c r="A325" s="21">
        <f t="shared" si="264"/>
        <v>258</v>
      </c>
      <c r="B325" s="147" t="s">
        <v>741</v>
      </c>
      <c r="C325" s="364" t="s">
        <v>452</v>
      </c>
      <c r="D325" s="313" t="s">
        <v>79</v>
      </c>
      <c r="E325" s="314" t="s">
        <v>715</v>
      </c>
      <c r="F325" s="315">
        <f>669.15+30+50+50</f>
        <v>799.15</v>
      </c>
      <c r="G325" s="316">
        <f>F325*12</f>
        <v>9589.7999999999993</v>
      </c>
      <c r="H325" s="316">
        <v>60</v>
      </c>
      <c r="I325" s="323"/>
      <c r="J325" s="316">
        <f>F325</f>
        <v>799.15</v>
      </c>
      <c r="K325" s="316">
        <v>300</v>
      </c>
      <c r="L325" s="324"/>
      <c r="M325" s="307">
        <v>125</v>
      </c>
      <c r="N325" s="307">
        <f t="shared" si="274"/>
        <v>805.14362499999993</v>
      </c>
      <c r="O325" s="321"/>
      <c r="P325" s="307">
        <f>N325/13</f>
        <v>61.934124999999995</v>
      </c>
      <c r="Q325" s="324"/>
      <c r="R325" s="324"/>
      <c r="S325" s="307">
        <f t="shared" si="275"/>
        <v>779.17124999999987</v>
      </c>
      <c r="T325" s="307">
        <f>S325/13</f>
        <v>59.936249999999987</v>
      </c>
      <c r="U325" s="324"/>
      <c r="V325" s="324"/>
      <c r="W325" s="307">
        <f>N325+Q325+S325+U325</f>
        <v>1584.3148749999998</v>
      </c>
      <c r="X325" s="307">
        <f t="shared" si="277"/>
        <v>103.8895</v>
      </c>
      <c r="Y325" s="307">
        <f>X325/13</f>
        <v>7.9915000000000003</v>
      </c>
      <c r="Z325" s="307">
        <f t="shared" si="278"/>
        <v>256.86964285714288</v>
      </c>
      <c r="AA325" s="307">
        <f>Z325*0.0775</f>
        <v>19.907397321428572</v>
      </c>
      <c r="AB325" s="307"/>
      <c r="AC325" s="307">
        <f>Z325*0.075</f>
        <v>19.265223214285715</v>
      </c>
      <c r="AD325" s="307"/>
      <c r="AE325" s="307">
        <f>AA325+AB325+AC325+AD325</f>
        <v>39.172620535714287</v>
      </c>
      <c r="AF325" s="307">
        <f>Z325*0.01</f>
        <v>2.5686964285714287</v>
      </c>
      <c r="AG325" s="325"/>
      <c r="AH325" s="325"/>
      <c r="AI325" s="325"/>
      <c r="AJ325" s="324"/>
    </row>
    <row r="326" spans="1:36" ht="19.5">
      <c r="A326" s="21">
        <f t="shared" si="264"/>
        <v>259</v>
      </c>
      <c r="B326" s="147" t="s">
        <v>470</v>
      </c>
      <c r="C326" s="364" t="s">
        <v>452</v>
      </c>
      <c r="D326" s="313" t="s">
        <v>79</v>
      </c>
      <c r="E326" s="314" t="s">
        <v>715</v>
      </c>
      <c r="F326" s="315">
        <f>621.72+30+50+50</f>
        <v>751.72</v>
      </c>
      <c r="G326" s="316">
        <f t="shared" si="262"/>
        <v>9020.64</v>
      </c>
      <c r="H326" s="316">
        <v>60</v>
      </c>
      <c r="I326" s="323"/>
      <c r="J326" s="316">
        <f t="shared" si="273"/>
        <v>751.72</v>
      </c>
      <c r="K326" s="316">
        <v>300</v>
      </c>
      <c r="L326" s="324"/>
      <c r="M326" s="307">
        <v>125</v>
      </c>
      <c r="N326" s="307">
        <f t="shared" si="274"/>
        <v>757.35789999999997</v>
      </c>
      <c r="O326" s="321"/>
      <c r="P326" s="307">
        <f t="shared" si="283"/>
        <v>58.258299999999998</v>
      </c>
      <c r="Q326" s="307"/>
      <c r="R326" s="307"/>
      <c r="S326" s="307">
        <f t="shared" si="275"/>
        <v>732.92700000000002</v>
      </c>
      <c r="T326" s="307">
        <f t="shared" si="263"/>
        <v>56.379000000000005</v>
      </c>
      <c r="U326" s="307"/>
      <c r="V326" s="307"/>
      <c r="W326" s="307">
        <f>N326+Q326+S326+U326</f>
        <v>1490.2849000000001</v>
      </c>
      <c r="X326" s="307">
        <f t="shared" si="277"/>
        <v>97.723600000000005</v>
      </c>
      <c r="Y326" s="307">
        <f t="shared" si="282"/>
        <v>7.5172000000000008</v>
      </c>
      <c r="Z326" s="307">
        <f t="shared" si="278"/>
        <v>241.62428571428575</v>
      </c>
      <c r="AA326" s="307">
        <f t="shared" si="279"/>
        <v>18.725882142857145</v>
      </c>
      <c r="AB326" s="307"/>
      <c r="AC326" s="307">
        <f t="shared" si="280"/>
        <v>18.12182142857143</v>
      </c>
      <c r="AD326" s="307"/>
      <c r="AE326" s="307">
        <f>AA326+AB326+AC326+AD326</f>
        <v>36.847703571428575</v>
      </c>
      <c r="AF326" s="307">
        <f t="shared" si="281"/>
        <v>2.4162428571428576</v>
      </c>
      <c r="AG326" s="324"/>
      <c r="AH326" s="324"/>
      <c r="AI326" s="324"/>
      <c r="AJ326" s="324"/>
    </row>
    <row r="327" spans="1:36" ht="19.5">
      <c r="A327" s="21">
        <f t="shared" si="264"/>
        <v>260</v>
      </c>
      <c r="B327" s="147" t="s">
        <v>473</v>
      </c>
      <c r="C327" s="364" t="s">
        <v>452</v>
      </c>
      <c r="D327" s="313" t="s">
        <v>79</v>
      </c>
      <c r="E327" s="314" t="s">
        <v>715</v>
      </c>
      <c r="F327" s="315">
        <f>547+50</f>
        <v>597</v>
      </c>
      <c r="G327" s="316">
        <f>F327*12</f>
        <v>7164</v>
      </c>
      <c r="H327" s="316">
        <v>60</v>
      </c>
      <c r="I327" s="323"/>
      <c r="J327" s="316">
        <f>F327</f>
        <v>597</v>
      </c>
      <c r="K327" s="316">
        <v>300</v>
      </c>
      <c r="L327" s="324"/>
      <c r="M327" s="307">
        <v>125</v>
      </c>
      <c r="N327" s="307">
        <f t="shared" si="274"/>
        <v>601.47749999999996</v>
      </c>
      <c r="O327" s="307"/>
      <c r="P327" s="307">
        <f>N327/13</f>
        <v>46.267499999999998</v>
      </c>
      <c r="Q327" s="307"/>
      <c r="R327" s="307"/>
      <c r="S327" s="307">
        <f t="shared" si="275"/>
        <v>582.07499999999993</v>
      </c>
      <c r="T327" s="307">
        <f>S327/13</f>
        <v>44.774999999999991</v>
      </c>
      <c r="U327" s="307"/>
      <c r="V327" s="307"/>
      <c r="W327" s="307">
        <f>N327+Q327+S327+U327</f>
        <v>1183.5524999999998</v>
      </c>
      <c r="X327" s="307">
        <f t="shared" si="277"/>
        <v>77.61</v>
      </c>
      <c r="Y327" s="307">
        <f>X327/13</f>
        <v>5.97</v>
      </c>
      <c r="Z327" s="307">
        <f t="shared" si="278"/>
        <v>191.89285714285714</v>
      </c>
      <c r="AA327" s="307">
        <f>Z327*0.0775</f>
        <v>14.871696428571429</v>
      </c>
      <c r="AB327" s="307"/>
      <c r="AC327" s="307">
        <f>Z327*0.075</f>
        <v>14.391964285714284</v>
      </c>
      <c r="AD327" s="307"/>
      <c r="AE327" s="307">
        <f>AA327+AB327+AC327+AD327+0.01</f>
        <v>29.273660714285715</v>
      </c>
      <c r="AF327" s="307">
        <f>Z327*0.01</f>
        <v>1.9189285714285713</v>
      </c>
      <c r="AG327" s="324"/>
      <c r="AH327" s="324"/>
      <c r="AI327" s="324"/>
      <c r="AJ327" s="324"/>
    </row>
    <row r="328" spans="1:36" ht="19.5">
      <c r="A328" s="21">
        <f t="shared" si="264"/>
        <v>261</v>
      </c>
      <c r="B328" s="147" t="s">
        <v>473</v>
      </c>
      <c r="C328" s="364" t="s">
        <v>452</v>
      </c>
      <c r="D328" s="156" t="s">
        <v>79</v>
      </c>
      <c r="E328" s="314" t="s">
        <v>677</v>
      </c>
      <c r="F328" s="315">
        <v>597</v>
      </c>
      <c r="G328" s="316">
        <f>F328*12</f>
        <v>7164</v>
      </c>
      <c r="H328" s="316">
        <v>60</v>
      </c>
      <c r="I328" s="323"/>
      <c r="J328" s="316">
        <f>F328</f>
        <v>597</v>
      </c>
      <c r="K328" s="316">
        <v>300</v>
      </c>
      <c r="L328" s="324"/>
      <c r="M328" s="307"/>
      <c r="N328" s="307">
        <f t="shared" si="274"/>
        <v>601.47749999999996</v>
      </c>
      <c r="O328" s="321"/>
      <c r="P328" s="307">
        <f>N328/13</f>
        <v>46.267499999999998</v>
      </c>
      <c r="Q328" s="307"/>
      <c r="R328" s="307"/>
      <c r="S328" s="307">
        <f t="shared" si="275"/>
        <v>582.07499999999993</v>
      </c>
      <c r="T328" s="307">
        <f>S328/13</f>
        <v>44.774999999999991</v>
      </c>
      <c r="U328" s="307"/>
      <c r="V328" s="307"/>
      <c r="W328" s="307">
        <f>N328+Q328+S328+U328+0.01</f>
        <v>1183.5624999999998</v>
      </c>
      <c r="X328" s="307">
        <f t="shared" si="277"/>
        <v>77.61</v>
      </c>
      <c r="Y328" s="307">
        <f>X328/13</f>
        <v>5.97</v>
      </c>
      <c r="Z328" s="307">
        <f t="shared" si="278"/>
        <v>191.89285714285714</v>
      </c>
      <c r="AA328" s="307">
        <f>Z328*0.0775</f>
        <v>14.871696428571429</v>
      </c>
      <c r="AB328" s="307"/>
      <c r="AC328" s="307">
        <f>Z328*0.075</f>
        <v>14.391964285714284</v>
      </c>
      <c r="AD328" s="307"/>
      <c r="AE328" s="307">
        <f>AA328+AB328+AC328+AD328</f>
        <v>29.263660714285713</v>
      </c>
      <c r="AF328" s="307">
        <f>Z328*0.01</f>
        <v>1.9189285714285713</v>
      </c>
      <c r="AG328" s="325"/>
      <c r="AH328" s="325"/>
      <c r="AI328" s="324"/>
      <c r="AJ328" s="324"/>
    </row>
    <row r="329" spans="1:36" ht="19.5">
      <c r="A329" s="21">
        <f t="shared" si="264"/>
        <v>262</v>
      </c>
      <c r="B329" s="147" t="s">
        <v>475</v>
      </c>
      <c r="C329" s="364" t="s">
        <v>452</v>
      </c>
      <c r="D329" s="313" t="s">
        <v>79</v>
      </c>
      <c r="E329" s="314" t="s">
        <v>715</v>
      </c>
      <c r="F329" s="315">
        <f>517+30+50+50</f>
        <v>647</v>
      </c>
      <c r="G329" s="316">
        <f>F329*12</f>
        <v>7764</v>
      </c>
      <c r="H329" s="316">
        <v>60</v>
      </c>
      <c r="I329" s="323"/>
      <c r="J329" s="316">
        <f>F329</f>
        <v>647</v>
      </c>
      <c r="K329" s="316">
        <v>300</v>
      </c>
      <c r="L329" s="324"/>
      <c r="M329" s="307">
        <v>125</v>
      </c>
      <c r="N329" s="307">
        <f t="shared" si="274"/>
        <v>651.85249999999996</v>
      </c>
      <c r="O329" s="321"/>
      <c r="P329" s="307">
        <f>N329/13</f>
        <v>50.142499999999998</v>
      </c>
      <c r="Q329" s="307"/>
      <c r="R329" s="307"/>
      <c r="S329" s="307">
        <f t="shared" si="275"/>
        <v>630.82499999999993</v>
      </c>
      <c r="T329" s="307">
        <f>S329/13</f>
        <v>48.524999999999991</v>
      </c>
      <c r="U329" s="307"/>
      <c r="V329" s="307"/>
      <c r="W329" s="307">
        <f>N329+Q329+S329+U329+0.01</f>
        <v>1282.6874999999998</v>
      </c>
      <c r="X329" s="307">
        <f t="shared" si="277"/>
        <v>84.11</v>
      </c>
      <c r="Y329" s="307">
        <f>X329/13</f>
        <v>6.47</v>
      </c>
      <c r="Z329" s="307">
        <f t="shared" si="278"/>
        <v>207.96428571428572</v>
      </c>
      <c r="AA329" s="307">
        <f>Z329*0.0775</f>
        <v>16.117232142857144</v>
      </c>
      <c r="AB329" s="307"/>
      <c r="AC329" s="307">
        <f>Z329*0.075</f>
        <v>15.597321428571428</v>
      </c>
      <c r="AD329" s="307"/>
      <c r="AE329" s="307">
        <f>AA329+AB329+AC329+AD329</f>
        <v>31.714553571428574</v>
      </c>
      <c r="AF329" s="307">
        <f>Z329*0.01</f>
        <v>2.0796428571428573</v>
      </c>
      <c r="AG329" s="325"/>
      <c r="AH329" s="325"/>
      <c r="AI329" s="325"/>
      <c r="AJ329" s="324"/>
    </row>
    <row r="330" spans="1:36" ht="19.5">
      <c r="A330" s="21">
        <f t="shared" si="264"/>
        <v>263</v>
      </c>
      <c r="B330" s="339" t="s">
        <v>689</v>
      </c>
      <c r="C330" s="364" t="s">
        <v>452</v>
      </c>
      <c r="D330" s="313" t="s">
        <v>762</v>
      </c>
      <c r="E330" s="314" t="s">
        <v>715</v>
      </c>
      <c r="F330" s="315">
        <v>497</v>
      </c>
      <c r="G330" s="316">
        <f>F330*12</f>
        <v>5964</v>
      </c>
      <c r="H330" s="316">
        <v>60</v>
      </c>
      <c r="I330" s="323"/>
      <c r="J330" s="316">
        <f t="shared" si="273"/>
        <v>497</v>
      </c>
      <c r="K330" s="316">
        <v>300</v>
      </c>
      <c r="L330" s="324"/>
      <c r="M330" s="307"/>
      <c r="N330" s="307">
        <f t="shared" si="274"/>
        <v>500.72749999999996</v>
      </c>
      <c r="O330" s="307">
        <f>N330/13</f>
        <v>38.517499999999998</v>
      </c>
      <c r="P330" s="186"/>
      <c r="Q330" s="307"/>
      <c r="R330" s="307"/>
      <c r="S330" s="307">
        <f t="shared" si="275"/>
        <v>484.57499999999999</v>
      </c>
      <c r="T330" s="307">
        <f t="shared" ref="T330" si="284">S330/13</f>
        <v>37.274999999999999</v>
      </c>
      <c r="U330" s="307"/>
      <c r="V330" s="307"/>
      <c r="W330" s="307">
        <f>N330+Q330+S330+U330+0.01</f>
        <v>985.3125</v>
      </c>
      <c r="X330" s="307">
        <f t="shared" si="277"/>
        <v>64.61</v>
      </c>
      <c r="Y330" s="307">
        <f t="shared" ref="Y330" si="285">X330/13</f>
        <v>4.97</v>
      </c>
      <c r="Z330" s="307">
        <f t="shared" si="278"/>
        <v>159.75</v>
      </c>
      <c r="AA330" s="307">
        <f t="shared" si="279"/>
        <v>12.380625</v>
      </c>
      <c r="AB330" s="307"/>
      <c r="AC330" s="307">
        <f t="shared" si="280"/>
        <v>11.981249999999999</v>
      </c>
      <c r="AD330" s="307"/>
      <c r="AE330" s="307">
        <f>AA330+AB330+AC330+AD330</f>
        <v>24.361874999999998</v>
      </c>
      <c r="AF330" s="307">
        <f t="shared" si="281"/>
        <v>1.5975000000000001</v>
      </c>
      <c r="AG330" s="324"/>
      <c r="AH330" s="324"/>
      <c r="AI330" s="324"/>
      <c r="AJ330" s="324"/>
    </row>
    <row r="331" spans="1:36" ht="19.5">
      <c r="A331" s="21">
        <f t="shared" si="264"/>
        <v>264</v>
      </c>
      <c r="B331" s="339" t="s">
        <v>479</v>
      </c>
      <c r="C331" s="364" t="s">
        <v>452</v>
      </c>
      <c r="D331" s="313" t="s">
        <v>762</v>
      </c>
      <c r="E331" s="314" t="s">
        <v>715</v>
      </c>
      <c r="F331" s="315">
        <v>500</v>
      </c>
      <c r="G331" s="316">
        <f t="shared" ref="G331:G333" si="286">F331*12</f>
        <v>6000</v>
      </c>
      <c r="H331" s="316">
        <v>60</v>
      </c>
      <c r="I331" s="323"/>
      <c r="J331" s="316">
        <f t="shared" si="273"/>
        <v>500</v>
      </c>
      <c r="K331" s="316">
        <v>300</v>
      </c>
      <c r="L331" s="324"/>
      <c r="M331" s="307"/>
      <c r="N331" s="307">
        <f t="shared" si="274"/>
        <v>503.75</v>
      </c>
      <c r="O331" s="307">
        <f>N331/13</f>
        <v>38.75</v>
      </c>
      <c r="P331" s="307"/>
      <c r="Q331" s="324"/>
      <c r="R331" s="324"/>
      <c r="S331" s="307">
        <f t="shared" si="275"/>
        <v>487.5</v>
      </c>
      <c r="T331" s="307">
        <f t="shared" si="263"/>
        <v>37.5</v>
      </c>
      <c r="U331" s="324"/>
      <c r="V331" s="324"/>
      <c r="W331" s="307">
        <f t="shared" ref="W331" si="287">N331+Q331+S331+U331</f>
        <v>991.25</v>
      </c>
      <c r="X331" s="307">
        <f t="shared" si="277"/>
        <v>65</v>
      </c>
      <c r="Y331" s="307">
        <f t="shared" si="282"/>
        <v>5</v>
      </c>
      <c r="Z331" s="307">
        <f t="shared" si="278"/>
        <v>160.71428571428569</v>
      </c>
      <c r="AA331" s="307">
        <f t="shared" si="279"/>
        <v>12.455357142857141</v>
      </c>
      <c r="AB331" s="307"/>
      <c r="AC331" s="307">
        <f t="shared" si="280"/>
        <v>12.053571428571427</v>
      </c>
      <c r="AD331" s="307"/>
      <c r="AE331" s="307">
        <f t="shared" ref="AE331" si="288">AA331+AB331+AC331+AD331</f>
        <v>24.508928571428569</v>
      </c>
      <c r="AF331" s="307">
        <f t="shared" si="281"/>
        <v>1.607142857142857</v>
      </c>
      <c r="AG331" s="325"/>
      <c r="AH331" s="325"/>
      <c r="AI331" s="325"/>
      <c r="AJ331" s="324"/>
    </row>
    <row r="332" spans="1:36" ht="19.5">
      <c r="A332" s="21">
        <f t="shared" si="264"/>
        <v>265</v>
      </c>
      <c r="B332" s="163" t="s">
        <v>485</v>
      </c>
      <c r="C332" s="364" t="s">
        <v>452</v>
      </c>
      <c r="D332" s="313" t="s">
        <v>79</v>
      </c>
      <c r="E332" s="314" t="s">
        <v>715</v>
      </c>
      <c r="F332" s="315">
        <f>547+30+50+50</f>
        <v>677</v>
      </c>
      <c r="G332" s="316">
        <f t="shared" si="286"/>
        <v>8124</v>
      </c>
      <c r="H332" s="316">
        <v>60</v>
      </c>
      <c r="I332" s="323"/>
      <c r="J332" s="316">
        <f t="shared" si="273"/>
        <v>677</v>
      </c>
      <c r="K332" s="316">
        <v>300</v>
      </c>
      <c r="L332" s="324"/>
      <c r="M332" s="307">
        <v>125</v>
      </c>
      <c r="N332" s="307">
        <f t="shared" si="274"/>
        <v>682.07749999999999</v>
      </c>
      <c r="O332" s="321"/>
      <c r="P332" s="307">
        <f>N332/13</f>
        <v>52.467500000000001</v>
      </c>
      <c r="Q332" s="324"/>
      <c r="R332" s="324"/>
      <c r="S332" s="307">
        <f t="shared" si="275"/>
        <v>660.07499999999993</v>
      </c>
      <c r="T332" s="307">
        <f t="shared" si="263"/>
        <v>50.774999999999991</v>
      </c>
      <c r="U332" s="324"/>
      <c r="V332" s="324"/>
      <c r="W332" s="307">
        <f>N332+Q332+S332+U332</f>
        <v>1342.1524999999999</v>
      </c>
      <c r="X332" s="307">
        <f t="shared" si="277"/>
        <v>88.01</v>
      </c>
      <c r="Y332" s="307">
        <f t="shared" si="282"/>
        <v>6.7700000000000005</v>
      </c>
      <c r="Z332" s="307">
        <f t="shared" si="278"/>
        <v>217.60714285714283</v>
      </c>
      <c r="AA332" s="307">
        <f t="shared" si="279"/>
        <v>16.864553571428569</v>
      </c>
      <c r="AB332" s="307"/>
      <c r="AC332" s="307">
        <f t="shared" si="280"/>
        <v>16.320535714285711</v>
      </c>
      <c r="AD332" s="307"/>
      <c r="AE332" s="307">
        <f>AA332+AB332+AC332+AD332+0.01</f>
        <v>33.195089285714282</v>
      </c>
      <c r="AF332" s="307">
        <f t="shared" si="281"/>
        <v>2.1760714285714284</v>
      </c>
      <c r="AG332" s="325"/>
      <c r="AH332" s="325"/>
      <c r="AI332" s="325"/>
      <c r="AJ332" s="324"/>
    </row>
    <row r="333" spans="1:36">
      <c r="A333" s="21"/>
      <c r="B333" s="138" t="s">
        <v>486</v>
      </c>
      <c r="C333" s="364"/>
      <c r="D333" s="313"/>
      <c r="E333" s="314"/>
      <c r="F333" s="315"/>
      <c r="G333" s="316">
        <f t="shared" si="286"/>
        <v>0</v>
      </c>
      <c r="H333" s="316"/>
      <c r="I333" s="323"/>
      <c r="J333" s="316">
        <f t="shared" si="273"/>
        <v>0</v>
      </c>
      <c r="K333" s="316"/>
      <c r="L333" s="324"/>
      <c r="M333" s="307"/>
      <c r="N333" s="307">
        <f t="shared" si="274"/>
        <v>0</v>
      </c>
      <c r="O333" s="321"/>
      <c r="P333" s="312"/>
      <c r="Q333" s="324"/>
      <c r="R333" s="324"/>
      <c r="S333" s="307">
        <f t="shared" si="275"/>
        <v>0</v>
      </c>
      <c r="T333" s="312">
        <f t="shared" si="263"/>
        <v>0</v>
      </c>
      <c r="U333" s="324"/>
      <c r="V333" s="324"/>
      <c r="W333" s="307"/>
      <c r="X333" s="307">
        <f t="shared" si="277"/>
        <v>0</v>
      </c>
      <c r="Y333" s="307">
        <f t="shared" si="282"/>
        <v>0</v>
      </c>
      <c r="Z333" s="307">
        <f t="shared" si="278"/>
        <v>0</v>
      </c>
      <c r="AA333" s="307">
        <f t="shared" si="279"/>
        <v>0</v>
      </c>
      <c r="AB333" s="307"/>
      <c r="AC333" s="307">
        <f t="shared" si="280"/>
        <v>0</v>
      </c>
      <c r="AD333" s="307"/>
      <c r="AE333" s="307">
        <f>AA333+AB333+AC333+AD333+0.01</f>
        <v>0.01</v>
      </c>
      <c r="AF333" s="307">
        <f t="shared" si="281"/>
        <v>0</v>
      </c>
      <c r="AG333" s="325"/>
      <c r="AH333" s="325"/>
      <c r="AI333" s="325"/>
      <c r="AJ333" s="324"/>
    </row>
    <row r="334" spans="1:36" ht="19.5">
      <c r="A334" s="21">
        <f>A332+1</f>
        <v>266</v>
      </c>
      <c r="B334" s="161" t="s">
        <v>488</v>
      </c>
      <c r="C334" s="364" t="s">
        <v>452</v>
      </c>
      <c r="D334" s="313" t="s">
        <v>79</v>
      </c>
      <c r="E334" s="314" t="s">
        <v>715</v>
      </c>
      <c r="F334" s="315">
        <f>517+30</f>
        <v>547</v>
      </c>
      <c r="G334" s="316">
        <f>F334*12</f>
        <v>6564</v>
      </c>
      <c r="H334" s="316">
        <v>60</v>
      </c>
      <c r="I334" s="323"/>
      <c r="J334" s="316">
        <f t="shared" ref="J334:J390" si="289">F334</f>
        <v>547</v>
      </c>
      <c r="K334" s="316">
        <v>300</v>
      </c>
      <c r="L334" s="324"/>
      <c r="M334" s="307">
        <v>125</v>
      </c>
      <c r="N334" s="307">
        <f t="shared" si="274"/>
        <v>551.10249999999996</v>
      </c>
      <c r="O334" s="307"/>
      <c r="P334" s="307">
        <f>N334/13</f>
        <v>42.392499999999998</v>
      </c>
      <c r="Q334" s="307"/>
      <c r="R334" s="307"/>
      <c r="S334" s="307">
        <f t="shared" si="275"/>
        <v>533.32499999999993</v>
      </c>
      <c r="T334" s="307">
        <f>S334/13</f>
        <v>41.024999999999991</v>
      </c>
      <c r="U334" s="307"/>
      <c r="V334" s="307"/>
      <c r="W334" s="307">
        <f>N334+Q334+S334+U334+0.01</f>
        <v>1084.4374999999998</v>
      </c>
      <c r="X334" s="307">
        <f t="shared" si="277"/>
        <v>71.11</v>
      </c>
      <c r="Y334" s="307">
        <f>X334/13</f>
        <v>5.47</v>
      </c>
      <c r="Z334" s="307">
        <f t="shared" si="278"/>
        <v>175.82142857142858</v>
      </c>
      <c r="AA334" s="307">
        <f t="shared" ref="AA334:AA390" si="290">Z334*0.0775</f>
        <v>13.626160714285716</v>
      </c>
      <c r="AB334" s="324"/>
      <c r="AC334" s="307">
        <f t="shared" ref="AC334:AC390" si="291">Z334*0.075</f>
        <v>13.186607142857143</v>
      </c>
      <c r="AD334" s="307"/>
      <c r="AE334" s="307">
        <f>AA334+AB334+AC334+AD334</f>
        <v>26.812767857142859</v>
      </c>
      <c r="AF334" s="307">
        <f t="shared" ref="AF334:AF390" si="292">Z334*0.01</f>
        <v>1.758214285714286</v>
      </c>
      <c r="AG334" s="325"/>
      <c r="AH334" s="325"/>
      <c r="AI334" s="325"/>
      <c r="AJ334" s="324"/>
    </row>
    <row r="335" spans="1:36" ht="19.5">
      <c r="A335" s="21">
        <f>A334+1</f>
        <v>267</v>
      </c>
      <c r="B335" s="161" t="s">
        <v>490</v>
      </c>
      <c r="C335" s="364" t="s">
        <v>452</v>
      </c>
      <c r="D335" s="313" t="s">
        <v>79</v>
      </c>
      <c r="E335" s="314" t="s">
        <v>715</v>
      </c>
      <c r="F335" s="315">
        <f>614.86+30+50+50</f>
        <v>744.86</v>
      </c>
      <c r="G335" s="316">
        <f>F335*12</f>
        <v>8938.32</v>
      </c>
      <c r="H335" s="316">
        <v>60</v>
      </c>
      <c r="I335" s="323"/>
      <c r="J335" s="316">
        <f>F335</f>
        <v>744.86</v>
      </c>
      <c r="K335" s="316">
        <v>300</v>
      </c>
      <c r="L335" s="324"/>
      <c r="M335" s="307"/>
      <c r="N335" s="307">
        <f t="shared" si="274"/>
        <v>750.44645000000003</v>
      </c>
      <c r="O335" s="321"/>
      <c r="P335" s="307">
        <f>N335/13</f>
        <v>57.726649999999999</v>
      </c>
      <c r="Q335" s="307"/>
      <c r="R335" s="307"/>
      <c r="S335" s="307">
        <f t="shared" si="275"/>
        <v>726.23850000000004</v>
      </c>
      <c r="T335" s="307">
        <f>S335/13</f>
        <v>55.864500000000007</v>
      </c>
      <c r="U335" s="307"/>
      <c r="V335" s="307"/>
      <c r="W335" s="307">
        <f>N335+Q335+S335+U335</f>
        <v>1476.6849500000001</v>
      </c>
      <c r="X335" s="307">
        <f t="shared" si="277"/>
        <v>96.831800000000001</v>
      </c>
      <c r="Y335" s="307">
        <f>X335/13</f>
        <v>7.4485999999999999</v>
      </c>
      <c r="Z335" s="307">
        <f t="shared" si="278"/>
        <v>239.41928571428573</v>
      </c>
      <c r="AA335" s="307">
        <f>Z335*0.0775</f>
        <v>18.554994642857146</v>
      </c>
      <c r="AB335" s="307"/>
      <c r="AC335" s="307">
        <f>Z335*0.075</f>
        <v>17.956446428571429</v>
      </c>
      <c r="AD335" s="307"/>
      <c r="AE335" s="307">
        <f>AA335+AB335+AC335+AD335</f>
        <v>36.511441071428578</v>
      </c>
      <c r="AF335" s="307">
        <f>Z335*0.01</f>
        <v>2.3941928571428575</v>
      </c>
      <c r="AG335" s="325"/>
      <c r="AH335" s="325"/>
      <c r="AI335" s="325"/>
      <c r="AJ335" s="324"/>
    </row>
    <row r="336" spans="1:36" ht="19.5">
      <c r="A336" s="21">
        <f t="shared" ref="A336:A395" si="293">A335+1</f>
        <v>268</v>
      </c>
      <c r="B336" s="161" t="s">
        <v>490</v>
      </c>
      <c r="C336" s="364" t="s">
        <v>452</v>
      </c>
      <c r="D336" s="313" t="s">
        <v>79</v>
      </c>
      <c r="E336" s="314" t="s">
        <v>715</v>
      </c>
      <c r="F336" s="315">
        <f>614.86+30+50+50</f>
        <v>744.86</v>
      </c>
      <c r="G336" s="316">
        <f t="shared" si="262"/>
        <v>8938.32</v>
      </c>
      <c r="H336" s="316">
        <v>60</v>
      </c>
      <c r="I336" s="323"/>
      <c r="J336" s="316">
        <f t="shared" si="289"/>
        <v>744.86</v>
      </c>
      <c r="K336" s="316">
        <v>300</v>
      </c>
      <c r="L336" s="324"/>
      <c r="M336" s="307"/>
      <c r="N336" s="307">
        <f t="shared" si="274"/>
        <v>750.44645000000003</v>
      </c>
      <c r="O336" s="307">
        <f t="shared" ref="O336:O341" si="294">N336/13</f>
        <v>57.726649999999999</v>
      </c>
      <c r="P336" s="307"/>
      <c r="Q336" s="307"/>
      <c r="R336" s="307"/>
      <c r="S336" s="307">
        <f t="shared" si="275"/>
        <v>726.23850000000004</v>
      </c>
      <c r="T336" s="307">
        <f t="shared" si="263"/>
        <v>55.864500000000007</v>
      </c>
      <c r="U336" s="307"/>
      <c r="V336" s="307"/>
      <c r="W336" s="307">
        <f>N336+Q336+S336+U336</f>
        <v>1476.6849500000001</v>
      </c>
      <c r="X336" s="307">
        <f t="shared" si="277"/>
        <v>96.831800000000001</v>
      </c>
      <c r="Y336" s="307">
        <f t="shared" ref="Y336:Y382" si="295">X336/13</f>
        <v>7.4485999999999999</v>
      </c>
      <c r="Z336" s="307">
        <f t="shared" si="278"/>
        <v>239.41928571428573</v>
      </c>
      <c r="AA336" s="307">
        <f t="shared" si="290"/>
        <v>18.554994642857146</v>
      </c>
      <c r="AB336" s="307"/>
      <c r="AC336" s="307">
        <f t="shared" si="291"/>
        <v>17.956446428571429</v>
      </c>
      <c r="AD336" s="307"/>
      <c r="AE336" s="307">
        <f t="shared" ref="AE336:AE337" si="296">AA336+AB336+AC336+AD336</f>
        <v>36.511441071428578</v>
      </c>
      <c r="AF336" s="307">
        <f t="shared" si="292"/>
        <v>2.3941928571428575</v>
      </c>
      <c r="AG336" s="324"/>
      <c r="AH336" s="324"/>
      <c r="AI336" s="324"/>
      <c r="AJ336" s="324"/>
    </row>
    <row r="337" spans="1:36" ht="19.5">
      <c r="A337" s="21">
        <f t="shared" si="293"/>
        <v>269</v>
      </c>
      <c r="B337" s="161" t="s">
        <v>490</v>
      </c>
      <c r="C337" s="364" t="s">
        <v>452</v>
      </c>
      <c r="D337" s="313" t="s">
        <v>79</v>
      </c>
      <c r="E337" s="314" t="s">
        <v>715</v>
      </c>
      <c r="F337" s="315">
        <f>614.86+30+50+50</f>
        <v>744.86</v>
      </c>
      <c r="G337" s="316">
        <f t="shared" si="262"/>
        <v>8938.32</v>
      </c>
      <c r="H337" s="316">
        <v>60</v>
      </c>
      <c r="I337" s="323"/>
      <c r="J337" s="316">
        <f t="shared" si="289"/>
        <v>744.86</v>
      </c>
      <c r="K337" s="316">
        <v>300</v>
      </c>
      <c r="L337" s="324"/>
      <c r="M337" s="307">
        <v>125</v>
      </c>
      <c r="N337" s="307">
        <f t="shared" si="274"/>
        <v>750.44645000000003</v>
      </c>
      <c r="O337" s="307">
        <f t="shared" si="294"/>
        <v>57.726649999999999</v>
      </c>
      <c r="P337" s="307"/>
      <c r="Q337" s="307"/>
      <c r="R337" s="307"/>
      <c r="S337" s="307">
        <f t="shared" si="275"/>
        <v>726.23850000000004</v>
      </c>
      <c r="T337" s="307">
        <f t="shared" si="263"/>
        <v>55.864500000000007</v>
      </c>
      <c r="U337" s="307"/>
      <c r="V337" s="307"/>
      <c r="W337" s="307">
        <f t="shared" ref="W337:W345" si="297">N337+Q337+S337+U337</f>
        <v>1476.6849500000001</v>
      </c>
      <c r="X337" s="307">
        <f t="shared" si="277"/>
        <v>96.831800000000001</v>
      </c>
      <c r="Y337" s="307">
        <f t="shared" si="295"/>
        <v>7.4485999999999999</v>
      </c>
      <c r="Z337" s="307">
        <f t="shared" si="278"/>
        <v>239.41928571428573</v>
      </c>
      <c r="AA337" s="307">
        <f t="shared" si="290"/>
        <v>18.554994642857146</v>
      </c>
      <c r="AB337" s="307"/>
      <c r="AC337" s="307">
        <f t="shared" si="291"/>
        <v>17.956446428571429</v>
      </c>
      <c r="AD337" s="307"/>
      <c r="AE337" s="307">
        <f t="shared" si="296"/>
        <v>36.511441071428578</v>
      </c>
      <c r="AF337" s="307">
        <f t="shared" si="292"/>
        <v>2.3941928571428575</v>
      </c>
      <c r="AG337" s="324"/>
      <c r="AH337" s="324"/>
      <c r="AI337" s="324"/>
      <c r="AJ337" s="324"/>
    </row>
    <row r="338" spans="1:36" ht="19.5">
      <c r="A338" s="21">
        <f t="shared" si="293"/>
        <v>270</v>
      </c>
      <c r="B338" s="161" t="s">
        <v>494</v>
      </c>
      <c r="C338" s="364" t="s">
        <v>452</v>
      </c>
      <c r="D338" s="313" t="s">
        <v>79</v>
      </c>
      <c r="E338" s="314" t="s">
        <v>715</v>
      </c>
      <c r="F338" s="315">
        <f>547+30+50+50</f>
        <v>677</v>
      </c>
      <c r="G338" s="316">
        <f t="shared" si="262"/>
        <v>8124</v>
      </c>
      <c r="H338" s="316">
        <v>60</v>
      </c>
      <c r="I338" s="323"/>
      <c r="J338" s="316">
        <f t="shared" si="289"/>
        <v>677</v>
      </c>
      <c r="K338" s="316">
        <v>300</v>
      </c>
      <c r="L338" s="324"/>
      <c r="M338" s="307"/>
      <c r="N338" s="307">
        <f t="shared" si="274"/>
        <v>682.07749999999999</v>
      </c>
      <c r="O338" s="307">
        <f t="shared" si="294"/>
        <v>52.467500000000001</v>
      </c>
      <c r="P338" s="307"/>
      <c r="Q338" s="307"/>
      <c r="R338" s="307"/>
      <c r="S338" s="307">
        <f t="shared" si="275"/>
        <v>660.07499999999993</v>
      </c>
      <c r="T338" s="307">
        <f t="shared" si="263"/>
        <v>50.774999999999991</v>
      </c>
      <c r="U338" s="307"/>
      <c r="V338" s="307"/>
      <c r="W338" s="307">
        <f t="shared" si="297"/>
        <v>1342.1524999999999</v>
      </c>
      <c r="X338" s="307">
        <f t="shared" si="277"/>
        <v>88.01</v>
      </c>
      <c r="Y338" s="307">
        <f t="shared" si="295"/>
        <v>6.7700000000000005</v>
      </c>
      <c r="Z338" s="307">
        <f t="shared" si="278"/>
        <v>217.60714285714283</v>
      </c>
      <c r="AA338" s="307">
        <f t="shared" si="290"/>
        <v>16.864553571428569</v>
      </c>
      <c r="AB338" s="307"/>
      <c r="AC338" s="307">
        <f t="shared" si="291"/>
        <v>16.320535714285711</v>
      </c>
      <c r="AD338" s="307"/>
      <c r="AE338" s="307">
        <f t="shared" ref="AE338:AE345" si="298">AA338+AB338+AC338+AD338+0.01</f>
        <v>33.195089285714282</v>
      </c>
      <c r="AF338" s="307">
        <f t="shared" si="292"/>
        <v>2.1760714285714284</v>
      </c>
      <c r="AG338" s="324"/>
      <c r="AH338" s="324"/>
      <c r="AI338" s="324"/>
      <c r="AJ338" s="324"/>
    </row>
    <row r="339" spans="1:36" ht="19.5">
      <c r="A339" s="21">
        <f t="shared" si="293"/>
        <v>271</v>
      </c>
      <c r="B339" s="161" t="s">
        <v>494</v>
      </c>
      <c r="C339" s="364" t="s">
        <v>452</v>
      </c>
      <c r="D339" s="313" t="s">
        <v>79</v>
      </c>
      <c r="E339" s="314" t="s">
        <v>715</v>
      </c>
      <c r="F339" s="315">
        <f>547+30+50+50</f>
        <v>677</v>
      </c>
      <c r="G339" s="316">
        <f t="shared" si="262"/>
        <v>8124</v>
      </c>
      <c r="H339" s="316">
        <v>60</v>
      </c>
      <c r="I339" s="323"/>
      <c r="J339" s="316">
        <f t="shared" si="289"/>
        <v>677</v>
      </c>
      <c r="K339" s="316">
        <v>300</v>
      </c>
      <c r="L339" s="324"/>
      <c r="M339" s="307">
        <v>125</v>
      </c>
      <c r="N339" s="307">
        <f t="shared" si="274"/>
        <v>682.07749999999999</v>
      </c>
      <c r="O339" s="307">
        <f t="shared" si="294"/>
        <v>52.467500000000001</v>
      </c>
      <c r="P339" s="307"/>
      <c r="Q339" s="307"/>
      <c r="R339" s="307"/>
      <c r="S339" s="307">
        <f t="shared" si="275"/>
        <v>660.07499999999993</v>
      </c>
      <c r="T339" s="307">
        <f t="shared" si="263"/>
        <v>50.774999999999991</v>
      </c>
      <c r="U339" s="307"/>
      <c r="V339" s="307"/>
      <c r="W339" s="307">
        <f t="shared" si="297"/>
        <v>1342.1524999999999</v>
      </c>
      <c r="X339" s="307">
        <f t="shared" si="277"/>
        <v>88.01</v>
      </c>
      <c r="Y339" s="307">
        <f t="shared" si="295"/>
        <v>6.7700000000000005</v>
      </c>
      <c r="Z339" s="307">
        <f t="shared" si="278"/>
        <v>217.60714285714283</v>
      </c>
      <c r="AA339" s="307">
        <f t="shared" si="290"/>
        <v>16.864553571428569</v>
      </c>
      <c r="AB339" s="307"/>
      <c r="AC339" s="307">
        <f t="shared" si="291"/>
        <v>16.320535714285711</v>
      </c>
      <c r="AD339" s="307"/>
      <c r="AE339" s="307">
        <f t="shared" si="298"/>
        <v>33.195089285714282</v>
      </c>
      <c r="AF339" s="307">
        <f t="shared" si="292"/>
        <v>2.1760714285714284</v>
      </c>
      <c r="AG339" s="324"/>
      <c r="AH339" s="324"/>
      <c r="AI339" s="324"/>
      <c r="AJ339" s="324"/>
    </row>
    <row r="340" spans="1:36" ht="19.5">
      <c r="A340" s="21">
        <f t="shared" si="293"/>
        <v>272</v>
      </c>
      <c r="B340" s="161" t="s">
        <v>494</v>
      </c>
      <c r="C340" s="364" t="s">
        <v>452</v>
      </c>
      <c r="D340" s="313" t="s">
        <v>79</v>
      </c>
      <c r="E340" s="314" t="s">
        <v>715</v>
      </c>
      <c r="F340" s="315">
        <f>547+30+50+50</f>
        <v>677</v>
      </c>
      <c r="G340" s="316">
        <f>F340*12</f>
        <v>8124</v>
      </c>
      <c r="H340" s="316">
        <v>60</v>
      </c>
      <c r="I340" s="323"/>
      <c r="J340" s="316">
        <f>F340</f>
        <v>677</v>
      </c>
      <c r="K340" s="316">
        <v>300</v>
      </c>
      <c r="L340" s="324"/>
      <c r="M340" s="307">
        <v>125</v>
      </c>
      <c r="N340" s="307">
        <f t="shared" si="274"/>
        <v>682.07749999999999</v>
      </c>
      <c r="O340" s="307">
        <f t="shared" si="294"/>
        <v>52.467500000000001</v>
      </c>
      <c r="P340" s="307"/>
      <c r="Q340" s="307"/>
      <c r="R340" s="307"/>
      <c r="S340" s="307">
        <f t="shared" si="275"/>
        <v>660.07499999999993</v>
      </c>
      <c r="T340" s="307">
        <f>S340/13</f>
        <v>50.774999999999991</v>
      </c>
      <c r="U340" s="307"/>
      <c r="V340" s="307"/>
      <c r="W340" s="307">
        <f>N340+Q340+S340+U340</f>
        <v>1342.1524999999999</v>
      </c>
      <c r="X340" s="307">
        <f t="shared" si="277"/>
        <v>88.01</v>
      </c>
      <c r="Y340" s="307">
        <f>X340/13</f>
        <v>6.7700000000000005</v>
      </c>
      <c r="Z340" s="307">
        <f t="shared" si="278"/>
        <v>217.60714285714283</v>
      </c>
      <c r="AA340" s="307">
        <f>Z340*0.0775</f>
        <v>16.864553571428569</v>
      </c>
      <c r="AB340" s="307"/>
      <c r="AC340" s="307">
        <f>Z340*0.075</f>
        <v>16.320535714285711</v>
      </c>
      <c r="AD340" s="307"/>
      <c r="AE340" s="307">
        <f>AA340+AB340+AC340+AD340+0.01</f>
        <v>33.195089285714282</v>
      </c>
      <c r="AF340" s="307">
        <f>Z340*0.01</f>
        <v>2.1760714285714284</v>
      </c>
      <c r="AG340" s="324"/>
      <c r="AH340" s="324"/>
      <c r="AI340" s="324"/>
      <c r="AJ340" s="324"/>
    </row>
    <row r="341" spans="1:36" ht="19.5">
      <c r="A341" s="21">
        <f t="shared" si="293"/>
        <v>273</v>
      </c>
      <c r="B341" s="161" t="s">
        <v>499</v>
      </c>
      <c r="C341" s="364" t="s">
        <v>452</v>
      </c>
      <c r="D341" s="313" t="s">
        <v>79</v>
      </c>
      <c r="E341" s="314" t="s">
        <v>715</v>
      </c>
      <c r="F341" s="315">
        <f t="shared" ref="F341:F346" si="299">467+30+50+50</f>
        <v>597</v>
      </c>
      <c r="G341" s="316">
        <f t="shared" si="262"/>
        <v>7164</v>
      </c>
      <c r="H341" s="316">
        <v>60</v>
      </c>
      <c r="I341" s="323"/>
      <c r="J341" s="316">
        <f t="shared" si="289"/>
        <v>597</v>
      </c>
      <c r="K341" s="316">
        <v>300</v>
      </c>
      <c r="L341" s="324"/>
      <c r="M341" s="307">
        <v>125</v>
      </c>
      <c r="N341" s="307">
        <f t="shared" si="274"/>
        <v>601.47749999999996</v>
      </c>
      <c r="O341" s="307">
        <f t="shared" si="294"/>
        <v>46.267499999999998</v>
      </c>
      <c r="P341" s="307"/>
      <c r="Q341" s="307"/>
      <c r="R341" s="307"/>
      <c r="S341" s="307">
        <f t="shared" si="275"/>
        <v>582.07499999999993</v>
      </c>
      <c r="T341" s="307">
        <f t="shared" si="263"/>
        <v>44.774999999999991</v>
      </c>
      <c r="U341" s="307"/>
      <c r="V341" s="307"/>
      <c r="W341" s="307">
        <f t="shared" si="297"/>
        <v>1183.5524999999998</v>
      </c>
      <c r="X341" s="307">
        <f t="shared" si="277"/>
        <v>77.61</v>
      </c>
      <c r="Y341" s="307">
        <f t="shared" si="295"/>
        <v>5.97</v>
      </c>
      <c r="Z341" s="307">
        <f t="shared" si="278"/>
        <v>191.89285714285714</v>
      </c>
      <c r="AA341" s="307">
        <f t="shared" si="290"/>
        <v>14.871696428571429</v>
      </c>
      <c r="AB341" s="307"/>
      <c r="AC341" s="307">
        <f t="shared" si="291"/>
        <v>14.391964285714284</v>
      </c>
      <c r="AD341" s="307"/>
      <c r="AE341" s="307">
        <f t="shared" si="298"/>
        <v>29.273660714285715</v>
      </c>
      <c r="AF341" s="307">
        <f t="shared" si="292"/>
        <v>1.9189285714285713</v>
      </c>
      <c r="AG341" s="324"/>
      <c r="AH341" s="324"/>
      <c r="AI341" s="324"/>
      <c r="AJ341" s="324"/>
    </row>
    <row r="342" spans="1:36" ht="19.5">
      <c r="A342" s="21">
        <f t="shared" si="293"/>
        <v>274</v>
      </c>
      <c r="B342" s="161" t="s">
        <v>501</v>
      </c>
      <c r="C342" s="364" t="s">
        <v>452</v>
      </c>
      <c r="D342" s="313" t="s">
        <v>79</v>
      </c>
      <c r="E342" s="314" t="s">
        <v>715</v>
      </c>
      <c r="F342" s="315">
        <f t="shared" si="299"/>
        <v>597</v>
      </c>
      <c r="G342" s="316">
        <f t="shared" si="262"/>
        <v>7164</v>
      </c>
      <c r="H342" s="316">
        <v>60</v>
      </c>
      <c r="I342" s="323"/>
      <c r="J342" s="316">
        <f t="shared" si="289"/>
        <v>597</v>
      </c>
      <c r="K342" s="316">
        <v>300</v>
      </c>
      <c r="L342" s="324"/>
      <c r="M342" s="307">
        <v>125</v>
      </c>
      <c r="N342" s="307">
        <f t="shared" si="274"/>
        <v>601.47749999999996</v>
      </c>
      <c r="O342" s="321"/>
      <c r="P342" s="307">
        <f>N342/13</f>
        <v>46.267499999999998</v>
      </c>
      <c r="Q342" s="307"/>
      <c r="R342" s="307"/>
      <c r="S342" s="307">
        <f t="shared" si="275"/>
        <v>582.07499999999993</v>
      </c>
      <c r="T342" s="307">
        <f t="shared" si="263"/>
        <v>44.774999999999991</v>
      </c>
      <c r="U342" s="307"/>
      <c r="V342" s="307"/>
      <c r="W342" s="307">
        <f t="shared" si="297"/>
        <v>1183.5524999999998</v>
      </c>
      <c r="X342" s="307">
        <f t="shared" si="277"/>
        <v>77.61</v>
      </c>
      <c r="Y342" s="307">
        <f t="shared" si="295"/>
        <v>5.97</v>
      </c>
      <c r="Z342" s="307">
        <f t="shared" si="278"/>
        <v>191.89285714285714</v>
      </c>
      <c r="AA342" s="307">
        <f t="shared" si="290"/>
        <v>14.871696428571429</v>
      </c>
      <c r="AB342" s="307"/>
      <c r="AC342" s="307">
        <f t="shared" si="291"/>
        <v>14.391964285714284</v>
      </c>
      <c r="AD342" s="307"/>
      <c r="AE342" s="307">
        <f t="shared" si="298"/>
        <v>29.273660714285715</v>
      </c>
      <c r="AF342" s="307">
        <f t="shared" si="292"/>
        <v>1.9189285714285713</v>
      </c>
      <c r="AG342" s="324"/>
      <c r="AH342" s="324"/>
      <c r="AI342" s="324"/>
      <c r="AJ342" s="324"/>
    </row>
    <row r="343" spans="1:36" ht="19.5">
      <c r="A343" s="21">
        <f t="shared" si="293"/>
        <v>275</v>
      </c>
      <c r="B343" s="161" t="s">
        <v>501</v>
      </c>
      <c r="C343" s="364" t="s">
        <v>452</v>
      </c>
      <c r="D343" s="313" t="s">
        <v>79</v>
      </c>
      <c r="E343" s="314" t="s">
        <v>715</v>
      </c>
      <c r="F343" s="315">
        <f t="shared" si="299"/>
        <v>597</v>
      </c>
      <c r="G343" s="316">
        <f t="shared" si="262"/>
        <v>7164</v>
      </c>
      <c r="H343" s="316">
        <v>60</v>
      </c>
      <c r="I343" s="323"/>
      <c r="J343" s="316">
        <f t="shared" si="289"/>
        <v>597</v>
      </c>
      <c r="K343" s="316">
        <v>300</v>
      </c>
      <c r="L343" s="324"/>
      <c r="M343" s="307"/>
      <c r="N343" s="307">
        <f t="shared" si="274"/>
        <v>601.47749999999996</v>
      </c>
      <c r="O343" s="321"/>
      <c r="P343" s="307">
        <f>N343/13</f>
        <v>46.267499999999998</v>
      </c>
      <c r="Q343" s="307"/>
      <c r="R343" s="307"/>
      <c r="S343" s="307">
        <f t="shared" si="275"/>
        <v>582.07499999999993</v>
      </c>
      <c r="T343" s="307">
        <f t="shared" si="263"/>
        <v>44.774999999999991</v>
      </c>
      <c r="U343" s="307"/>
      <c r="V343" s="307"/>
      <c r="W343" s="307">
        <f t="shared" si="297"/>
        <v>1183.5524999999998</v>
      </c>
      <c r="X343" s="307">
        <f t="shared" si="277"/>
        <v>77.61</v>
      </c>
      <c r="Y343" s="307">
        <f t="shared" si="295"/>
        <v>5.97</v>
      </c>
      <c r="Z343" s="307">
        <f t="shared" si="278"/>
        <v>191.89285714285714</v>
      </c>
      <c r="AA343" s="307">
        <f t="shared" si="290"/>
        <v>14.871696428571429</v>
      </c>
      <c r="AB343" s="307"/>
      <c r="AC343" s="307">
        <f t="shared" si="291"/>
        <v>14.391964285714284</v>
      </c>
      <c r="AD343" s="307"/>
      <c r="AE343" s="307">
        <f t="shared" si="298"/>
        <v>29.273660714285715</v>
      </c>
      <c r="AF343" s="307">
        <f t="shared" si="292"/>
        <v>1.9189285714285713</v>
      </c>
      <c r="AG343" s="324"/>
      <c r="AH343" s="324"/>
      <c r="AI343" s="324"/>
      <c r="AJ343" s="324"/>
    </row>
    <row r="344" spans="1:36" ht="19.5">
      <c r="A344" s="21">
        <f t="shared" si="293"/>
        <v>276</v>
      </c>
      <c r="B344" s="161" t="s">
        <v>501</v>
      </c>
      <c r="C344" s="364" t="s">
        <v>452</v>
      </c>
      <c r="D344" s="313" t="s">
        <v>79</v>
      </c>
      <c r="E344" s="314" t="s">
        <v>715</v>
      </c>
      <c r="F344" s="315">
        <f t="shared" si="299"/>
        <v>597</v>
      </c>
      <c r="G344" s="316">
        <f t="shared" si="262"/>
        <v>7164</v>
      </c>
      <c r="H344" s="316">
        <v>60</v>
      </c>
      <c r="I344" s="323"/>
      <c r="J344" s="316">
        <f t="shared" si="289"/>
        <v>597</v>
      </c>
      <c r="K344" s="316">
        <v>300</v>
      </c>
      <c r="L344" s="324"/>
      <c r="M344" s="307">
        <v>125</v>
      </c>
      <c r="N344" s="307">
        <f t="shared" si="274"/>
        <v>601.47749999999996</v>
      </c>
      <c r="O344" s="321"/>
      <c r="P344" s="307">
        <f>N344/13</f>
        <v>46.267499999999998</v>
      </c>
      <c r="Q344" s="307"/>
      <c r="R344" s="307"/>
      <c r="S344" s="307">
        <f t="shared" si="275"/>
        <v>582.07499999999993</v>
      </c>
      <c r="T344" s="307">
        <f t="shared" si="263"/>
        <v>44.774999999999991</v>
      </c>
      <c r="U344" s="307"/>
      <c r="V344" s="307"/>
      <c r="W344" s="307">
        <f t="shared" si="297"/>
        <v>1183.5524999999998</v>
      </c>
      <c r="X344" s="307">
        <f t="shared" si="277"/>
        <v>77.61</v>
      </c>
      <c r="Y344" s="307">
        <f t="shared" si="295"/>
        <v>5.97</v>
      </c>
      <c r="Z344" s="307">
        <f t="shared" si="278"/>
        <v>191.89285714285714</v>
      </c>
      <c r="AA344" s="307">
        <f t="shared" si="290"/>
        <v>14.871696428571429</v>
      </c>
      <c r="AB344" s="307"/>
      <c r="AC344" s="307">
        <f t="shared" si="291"/>
        <v>14.391964285714284</v>
      </c>
      <c r="AD344" s="307"/>
      <c r="AE344" s="307">
        <f t="shared" si="298"/>
        <v>29.273660714285715</v>
      </c>
      <c r="AF344" s="307">
        <f t="shared" si="292"/>
        <v>1.9189285714285713</v>
      </c>
      <c r="AG344" s="324"/>
      <c r="AH344" s="324"/>
      <c r="AI344" s="324"/>
      <c r="AJ344" s="324"/>
    </row>
    <row r="345" spans="1:36" ht="19.5">
      <c r="A345" s="21">
        <f t="shared" si="293"/>
        <v>277</v>
      </c>
      <c r="B345" s="161" t="s">
        <v>501</v>
      </c>
      <c r="C345" s="364" t="s">
        <v>452</v>
      </c>
      <c r="D345" s="313" t="s">
        <v>79</v>
      </c>
      <c r="E345" s="314" t="s">
        <v>715</v>
      </c>
      <c r="F345" s="315">
        <f t="shared" si="299"/>
        <v>597</v>
      </c>
      <c r="G345" s="316">
        <f>F345*12</f>
        <v>7164</v>
      </c>
      <c r="H345" s="316">
        <v>60</v>
      </c>
      <c r="I345" s="323"/>
      <c r="J345" s="316">
        <f t="shared" si="289"/>
        <v>597</v>
      </c>
      <c r="K345" s="316">
        <v>300</v>
      </c>
      <c r="L345" s="324"/>
      <c r="M345" s="307">
        <v>125</v>
      </c>
      <c r="N345" s="307">
        <f t="shared" si="274"/>
        <v>601.47749999999996</v>
      </c>
      <c r="O345" s="321"/>
      <c r="P345" s="307">
        <f>N345/13</f>
        <v>46.267499999999998</v>
      </c>
      <c r="Q345" s="307"/>
      <c r="R345" s="307"/>
      <c r="S345" s="307">
        <f t="shared" si="275"/>
        <v>582.07499999999993</v>
      </c>
      <c r="T345" s="307">
        <f>S345/13</f>
        <v>44.774999999999991</v>
      </c>
      <c r="U345" s="307"/>
      <c r="V345" s="307"/>
      <c r="W345" s="307">
        <f t="shared" si="297"/>
        <v>1183.5524999999998</v>
      </c>
      <c r="X345" s="307">
        <f t="shared" si="277"/>
        <v>77.61</v>
      </c>
      <c r="Y345" s="307">
        <f>X345/13</f>
        <v>5.97</v>
      </c>
      <c r="Z345" s="307">
        <f t="shared" si="278"/>
        <v>191.89285714285714</v>
      </c>
      <c r="AA345" s="307">
        <f t="shared" si="290"/>
        <v>14.871696428571429</v>
      </c>
      <c r="AB345" s="307"/>
      <c r="AC345" s="307">
        <f t="shared" si="291"/>
        <v>14.391964285714284</v>
      </c>
      <c r="AD345" s="307"/>
      <c r="AE345" s="307">
        <f t="shared" si="298"/>
        <v>29.273660714285715</v>
      </c>
      <c r="AF345" s="307">
        <f t="shared" si="292"/>
        <v>1.9189285714285713</v>
      </c>
      <c r="AG345" s="324"/>
      <c r="AH345" s="324"/>
      <c r="AI345" s="324"/>
      <c r="AJ345" s="324"/>
    </row>
    <row r="346" spans="1:36" ht="19.5">
      <c r="A346" s="21">
        <f t="shared" si="293"/>
        <v>278</v>
      </c>
      <c r="B346" s="161" t="s">
        <v>501</v>
      </c>
      <c r="C346" s="364" t="s">
        <v>452</v>
      </c>
      <c r="D346" s="313" t="s">
        <v>79</v>
      </c>
      <c r="E346" s="314" t="s">
        <v>715</v>
      </c>
      <c r="F346" s="315">
        <f t="shared" si="299"/>
        <v>597</v>
      </c>
      <c r="G346" s="316">
        <f>F346*12</f>
        <v>7164</v>
      </c>
      <c r="H346" s="316">
        <v>60</v>
      </c>
      <c r="I346" s="323"/>
      <c r="J346" s="316">
        <f>F346</f>
        <v>597</v>
      </c>
      <c r="K346" s="316">
        <v>300</v>
      </c>
      <c r="L346" s="324"/>
      <c r="M346" s="307">
        <v>125</v>
      </c>
      <c r="N346" s="307">
        <f t="shared" si="274"/>
        <v>601.47749999999996</v>
      </c>
      <c r="O346" s="321"/>
      <c r="P346" s="307">
        <f>N346/13</f>
        <v>46.267499999999998</v>
      </c>
      <c r="Q346" s="307"/>
      <c r="R346" s="307"/>
      <c r="S346" s="307">
        <f t="shared" si="275"/>
        <v>582.07499999999993</v>
      </c>
      <c r="T346" s="307">
        <f>S346/13</f>
        <v>44.774999999999991</v>
      </c>
      <c r="U346" s="307"/>
      <c r="V346" s="307"/>
      <c r="W346" s="307">
        <f>N346+Q346+S346+U346</f>
        <v>1183.5524999999998</v>
      </c>
      <c r="X346" s="307">
        <f t="shared" si="277"/>
        <v>77.61</v>
      </c>
      <c r="Y346" s="307">
        <f>X346/13</f>
        <v>5.97</v>
      </c>
      <c r="Z346" s="307">
        <f t="shared" si="278"/>
        <v>191.89285714285714</v>
      </c>
      <c r="AA346" s="307">
        <f>Z346*0.0775</f>
        <v>14.871696428571429</v>
      </c>
      <c r="AB346" s="307"/>
      <c r="AC346" s="307">
        <f>Z346*0.075</f>
        <v>14.391964285714284</v>
      </c>
      <c r="AD346" s="307"/>
      <c r="AE346" s="307">
        <f>AA346+AB346+AC346+AD346+0.01</f>
        <v>29.273660714285715</v>
      </c>
      <c r="AF346" s="307">
        <f>Z346*0.01</f>
        <v>1.9189285714285713</v>
      </c>
      <c r="AG346" s="325"/>
      <c r="AH346" s="325"/>
      <c r="AI346" s="325"/>
      <c r="AJ346" s="324"/>
    </row>
    <row r="347" spans="1:36" ht="19.5">
      <c r="A347" s="21">
        <f t="shared" si="293"/>
        <v>279</v>
      </c>
      <c r="B347" s="161" t="s">
        <v>507</v>
      </c>
      <c r="C347" s="364" t="s">
        <v>452</v>
      </c>
      <c r="D347" s="313" t="s">
        <v>79</v>
      </c>
      <c r="E347" s="314" t="s">
        <v>715</v>
      </c>
      <c r="F347" s="315">
        <f>417+30+50+50</f>
        <v>547</v>
      </c>
      <c r="G347" s="316">
        <f t="shared" si="262"/>
        <v>6564</v>
      </c>
      <c r="H347" s="316">
        <v>60</v>
      </c>
      <c r="I347" s="323"/>
      <c r="J347" s="316">
        <f t="shared" si="289"/>
        <v>547</v>
      </c>
      <c r="K347" s="316">
        <v>300</v>
      </c>
      <c r="L347" s="324"/>
      <c r="M347" s="307">
        <v>125</v>
      </c>
      <c r="N347" s="307">
        <f t="shared" si="274"/>
        <v>551.10249999999996</v>
      </c>
      <c r="O347" s="307">
        <f>N347/13</f>
        <v>42.392499999999998</v>
      </c>
      <c r="P347" s="307"/>
      <c r="Q347" s="307"/>
      <c r="R347" s="307"/>
      <c r="S347" s="307">
        <f t="shared" si="275"/>
        <v>533.32499999999993</v>
      </c>
      <c r="T347" s="307">
        <f t="shared" si="263"/>
        <v>41.024999999999991</v>
      </c>
      <c r="U347" s="307"/>
      <c r="V347" s="307"/>
      <c r="W347" s="307">
        <f>N347+Q347+S347+U347+0.01</f>
        <v>1084.4374999999998</v>
      </c>
      <c r="X347" s="307">
        <f t="shared" si="277"/>
        <v>71.11</v>
      </c>
      <c r="Y347" s="307">
        <f t="shared" si="295"/>
        <v>5.47</v>
      </c>
      <c r="Z347" s="307">
        <f t="shared" si="278"/>
        <v>175.82142857142858</v>
      </c>
      <c r="AA347" s="307">
        <f t="shared" si="290"/>
        <v>13.626160714285716</v>
      </c>
      <c r="AB347" s="307"/>
      <c r="AC347" s="307">
        <f t="shared" si="291"/>
        <v>13.186607142857143</v>
      </c>
      <c r="AD347" s="307"/>
      <c r="AE347" s="307">
        <f>AA347+AB347+AC347+AD347</f>
        <v>26.812767857142859</v>
      </c>
      <c r="AF347" s="307">
        <f t="shared" si="292"/>
        <v>1.758214285714286</v>
      </c>
      <c r="AG347" s="324"/>
      <c r="AH347" s="324"/>
      <c r="AI347" s="324"/>
      <c r="AJ347" s="324"/>
    </row>
    <row r="348" spans="1:36" ht="19.5">
      <c r="A348" s="21">
        <f t="shared" si="293"/>
        <v>280</v>
      </c>
      <c r="B348" s="161" t="s">
        <v>507</v>
      </c>
      <c r="C348" s="364" t="s">
        <v>452</v>
      </c>
      <c r="D348" s="313" t="s">
        <v>79</v>
      </c>
      <c r="E348" s="314" t="s">
        <v>715</v>
      </c>
      <c r="F348" s="315">
        <f>417+30+50+50</f>
        <v>547</v>
      </c>
      <c r="G348" s="316">
        <f t="shared" si="262"/>
        <v>6564</v>
      </c>
      <c r="H348" s="316">
        <v>60</v>
      </c>
      <c r="I348" s="323"/>
      <c r="J348" s="316">
        <f t="shared" si="289"/>
        <v>547</v>
      </c>
      <c r="K348" s="316">
        <v>300</v>
      </c>
      <c r="L348" s="324"/>
      <c r="M348" s="307">
        <v>125</v>
      </c>
      <c r="N348" s="307">
        <f t="shared" si="274"/>
        <v>551.10249999999996</v>
      </c>
      <c r="O348" s="307">
        <f>N348/13</f>
        <v>42.392499999999998</v>
      </c>
      <c r="P348" s="307"/>
      <c r="Q348" s="307"/>
      <c r="R348" s="307"/>
      <c r="S348" s="307">
        <f t="shared" si="275"/>
        <v>533.32499999999993</v>
      </c>
      <c r="T348" s="307">
        <f t="shared" si="263"/>
        <v>41.024999999999991</v>
      </c>
      <c r="U348" s="307"/>
      <c r="V348" s="307"/>
      <c r="W348" s="307">
        <f t="shared" ref="W348" si="300">N348+Q348+S348+U348+0.01</f>
        <v>1084.4374999999998</v>
      </c>
      <c r="X348" s="307">
        <f t="shared" si="277"/>
        <v>71.11</v>
      </c>
      <c r="Y348" s="307">
        <f t="shared" si="295"/>
        <v>5.47</v>
      </c>
      <c r="Z348" s="307">
        <f t="shared" si="278"/>
        <v>175.82142857142858</v>
      </c>
      <c r="AA348" s="307">
        <f t="shared" si="290"/>
        <v>13.626160714285716</v>
      </c>
      <c r="AB348" s="307"/>
      <c r="AC348" s="307">
        <f t="shared" si="291"/>
        <v>13.186607142857143</v>
      </c>
      <c r="AD348" s="307"/>
      <c r="AE348" s="307">
        <f t="shared" ref="AE348:AE353" si="301">AA348+AB348+AC348+AD348</f>
        <v>26.812767857142859</v>
      </c>
      <c r="AF348" s="307">
        <f t="shared" si="292"/>
        <v>1.758214285714286</v>
      </c>
      <c r="AG348" s="324"/>
      <c r="AH348" s="324"/>
      <c r="AI348" s="324"/>
      <c r="AJ348" s="324"/>
    </row>
    <row r="349" spans="1:36" ht="19.5">
      <c r="A349" s="21">
        <f t="shared" si="293"/>
        <v>281</v>
      </c>
      <c r="B349" s="161" t="s">
        <v>507</v>
      </c>
      <c r="C349" s="364" t="s">
        <v>452</v>
      </c>
      <c r="D349" s="313" t="s">
        <v>79</v>
      </c>
      <c r="E349" s="314" t="s">
        <v>715</v>
      </c>
      <c r="F349" s="315">
        <f>417+50+50</f>
        <v>517</v>
      </c>
      <c r="G349" s="316">
        <f t="shared" si="262"/>
        <v>6204</v>
      </c>
      <c r="H349" s="316">
        <v>60</v>
      </c>
      <c r="I349" s="323"/>
      <c r="J349" s="316">
        <f t="shared" si="289"/>
        <v>517</v>
      </c>
      <c r="K349" s="316">
        <v>300</v>
      </c>
      <c r="L349" s="324"/>
      <c r="M349" s="307">
        <v>125</v>
      </c>
      <c r="N349" s="307">
        <f t="shared" ref="N349:N380" si="302">F349*0.0775*13</f>
        <v>520.87750000000005</v>
      </c>
      <c r="O349" s="321"/>
      <c r="P349" s="307">
        <f>N349/13</f>
        <v>40.067500000000003</v>
      </c>
      <c r="Q349" s="307"/>
      <c r="R349" s="307"/>
      <c r="S349" s="307">
        <f t="shared" ref="S349:S380" si="303">F349*0.075*13</f>
        <v>504.07499999999999</v>
      </c>
      <c r="T349" s="307">
        <f>S349/13</f>
        <v>38.774999999999999</v>
      </c>
      <c r="U349" s="307"/>
      <c r="V349" s="307"/>
      <c r="W349" s="307">
        <f>N349+Q349+S349+U349</f>
        <v>1024.9525000000001</v>
      </c>
      <c r="X349" s="307">
        <f t="shared" ref="X349:X380" si="304">F349*0.01*13</f>
        <v>67.209999999999994</v>
      </c>
      <c r="Y349" s="307">
        <f>X349/13</f>
        <v>5.17</v>
      </c>
      <c r="Z349" s="307">
        <f t="shared" ref="Z349:Z380" si="305">F349/30/7*1.5*45</f>
        <v>166.17857142857144</v>
      </c>
      <c r="AA349" s="307">
        <f t="shared" si="290"/>
        <v>12.878839285714287</v>
      </c>
      <c r="AB349" s="307"/>
      <c r="AC349" s="307">
        <f t="shared" si="291"/>
        <v>12.463392857142859</v>
      </c>
      <c r="AD349" s="307"/>
      <c r="AE349" s="307">
        <f t="shared" si="301"/>
        <v>25.342232142857146</v>
      </c>
      <c r="AF349" s="307">
        <f t="shared" si="292"/>
        <v>1.6617857142857144</v>
      </c>
      <c r="AG349" s="324"/>
      <c r="AH349" s="324"/>
      <c r="AI349" s="324"/>
      <c r="AJ349" s="324"/>
    </row>
    <row r="350" spans="1:36" ht="19.5">
      <c r="A350" s="21">
        <f t="shared" si="293"/>
        <v>282</v>
      </c>
      <c r="B350" s="161" t="s">
        <v>507</v>
      </c>
      <c r="C350" s="364" t="s">
        <v>452</v>
      </c>
      <c r="D350" s="313" t="s">
        <v>79</v>
      </c>
      <c r="E350" s="314" t="s">
        <v>715</v>
      </c>
      <c r="F350" s="315">
        <f>417+50+50</f>
        <v>517</v>
      </c>
      <c r="G350" s="316">
        <f t="shared" si="262"/>
        <v>6204</v>
      </c>
      <c r="H350" s="316">
        <v>60</v>
      </c>
      <c r="I350" s="323"/>
      <c r="J350" s="316">
        <f t="shared" si="289"/>
        <v>517</v>
      </c>
      <c r="K350" s="316">
        <v>300</v>
      </c>
      <c r="L350" s="324"/>
      <c r="M350" s="307">
        <v>125</v>
      </c>
      <c r="N350" s="307">
        <f t="shared" si="302"/>
        <v>520.87750000000005</v>
      </c>
      <c r="O350" s="307"/>
      <c r="P350" s="307">
        <f>N350/13</f>
        <v>40.067500000000003</v>
      </c>
      <c r="Q350" s="307"/>
      <c r="R350" s="307"/>
      <c r="S350" s="307">
        <f t="shared" si="303"/>
        <v>504.07499999999999</v>
      </c>
      <c r="T350" s="307">
        <f>S350/13</f>
        <v>38.774999999999999</v>
      </c>
      <c r="U350" s="307"/>
      <c r="V350" s="307"/>
      <c r="W350" s="307">
        <f t="shared" ref="W350:W353" si="306">N350+Q350+S350+U350</f>
        <v>1024.9525000000001</v>
      </c>
      <c r="X350" s="307">
        <f t="shared" si="304"/>
        <v>67.209999999999994</v>
      </c>
      <c r="Y350" s="307">
        <f>X350/13</f>
        <v>5.17</v>
      </c>
      <c r="Z350" s="307">
        <f t="shared" si="305"/>
        <v>166.17857142857144</v>
      </c>
      <c r="AA350" s="307">
        <f t="shared" si="290"/>
        <v>12.878839285714287</v>
      </c>
      <c r="AB350" s="307"/>
      <c r="AC350" s="307">
        <f t="shared" si="291"/>
        <v>12.463392857142859</v>
      </c>
      <c r="AD350" s="307"/>
      <c r="AE350" s="307">
        <f t="shared" si="301"/>
        <v>25.342232142857146</v>
      </c>
      <c r="AF350" s="307">
        <f t="shared" si="292"/>
        <v>1.6617857142857144</v>
      </c>
      <c r="AG350" s="324"/>
      <c r="AH350" s="329"/>
      <c r="AI350" s="329"/>
      <c r="AJ350" s="329"/>
    </row>
    <row r="351" spans="1:36" ht="19.5">
      <c r="A351" s="21">
        <f t="shared" si="293"/>
        <v>283</v>
      </c>
      <c r="B351" s="161" t="s">
        <v>507</v>
      </c>
      <c r="C351" s="364" t="s">
        <v>452</v>
      </c>
      <c r="D351" s="313" t="s">
        <v>79</v>
      </c>
      <c r="E351" s="314" t="s">
        <v>715</v>
      </c>
      <c r="F351" s="315">
        <f>417+50+50</f>
        <v>517</v>
      </c>
      <c r="G351" s="316">
        <f t="shared" si="262"/>
        <v>6204</v>
      </c>
      <c r="H351" s="316">
        <v>60</v>
      </c>
      <c r="I351" s="323"/>
      <c r="J351" s="316">
        <f t="shared" si="289"/>
        <v>517</v>
      </c>
      <c r="K351" s="316">
        <v>300</v>
      </c>
      <c r="L351" s="324"/>
      <c r="M351" s="307">
        <v>125</v>
      </c>
      <c r="N351" s="307">
        <f t="shared" si="302"/>
        <v>520.87750000000005</v>
      </c>
      <c r="O351" s="307">
        <f>N351/13</f>
        <v>40.067500000000003</v>
      </c>
      <c r="P351" s="307"/>
      <c r="Q351" s="307"/>
      <c r="R351" s="307"/>
      <c r="S351" s="307">
        <f t="shared" si="303"/>
        <v>504.07499999999999</v>
      </c>
      <c r="T351" s="307">
        <f t="shared" si="263"/>
        <v>38.774999999999999</v>
      </c>
      <c r="U351" s="307"/>
      <c r="V351" s="307"/>
      <c r="W351" s="307">
        <f t="shared" si="306"/>
        <v>1024.9525000000001</v>
      </c>
      <c r="X351" s="307">
        <f t="shared" si="304"/>
        <v>67.209999999999994</v>
      </c>
      <c r="Y351" s="307">
        <f t="shared" si="295"/>
        <v>5.17</v>
      </c>
      <c r="Z351" s="307">
        <f t="shared" si="305"/>
        <v>166.17857142857144</v>
      </c>
      <c r="AA351" s="307">
        <f t="shared" si="290"/>
        <v>12.878839285714287</v>
      </c>
      <c r="AB351" s="307"/>
      <c r="AC351" s="307">
        <f t="shared" si="291"/>
        <v>12.463392857142859</v>
      </c>
      <c r="AD351" s="307"/>
      <c r="AE351" s="307">
        <f t="shared" si="301"/>
        <v>25.342232142857146</v>
      </c>
      <c r="AF351" s="307">
        <f t="shared" si="292"/>
        <v>1.6617857142857144</v>
      </c>
      <c r="AG351" s="324"/>
      <c r="AH351" s="324"/>
      <c r="AI351" s="324"/>
      <c r="AJ351" s="324"/>
    </row>
    <row r="352" spans="1:36" ht="19.5">
      <c r="A352" s="21">
        <f t="shared" si="293"/>
        <v>284</v>
      </c>
      <c r="B352" s="161" t="s">
        <v>507</v>
      </c>
      <c r="C352" s="364" t="s">
        <v>452</v>
      </c>
      <c r="D352" s="313" t="s">
        <v>79</v>
      </c>
      <c r="E352" s="314" t="s">
        <v>715</v>
      </c>
      <c r="F352" s="315">
        <f>417+50+50</f>
        <v>517</v>
      </c>
      <c r="G352" s="316">
        <f t="shared" si="262"/>
        <v>6204</v>
      </c>
      <c r="H352" s="316">
        <v>60</v>
      </c>
      <c r="I352" s="323"/>
      <c r="J352" s="316">
        <f t="shared" si="289"/>
        <v>517</v>
      </c>
      <c r="K352" s="316">
        <v>300</v>
      </c>
      <c r="L352" s="324"/>
      <c r="M352" s="307">
        <v>125</v>
      </c>
      <c r="N352" s="307">
        <f t="shared" si="302"/>
        <v>520.87750000000005</v>
      </c>
      <c r="O352" s="307"/>
      <c r="P352" s="307">
        <f t="shared" ref="P352:P366" si="307">N352/13</f>
        <v>40.067500000000003</v>
      </c>
      <c r="Q352" s="307"/>
      <c r="R352" s="307"/>
      <c r="S352" s="307">
        <f t="shared" si="303"/>
        <v>504.07499999999999</v>
      </c>
      <c r="T352" s="307">
        <f t="shared" si="263"/>
        <v>38.774999999999999</v>
      </c>
      <c r="U352" s="307"/>
      <c r="V352" s="307"/>
      <c r="W352" s="307">
        <f t="shared" si="306"/>
        <v>1024.9525000000001</v>
      </c>
      <c r="X352" s="307">
        <f t="shared" si="304"/>
        <v>67.209999999999994</v>
      </c>
      <c r="Y352" s="307">
        <f t="shared" si="295"/>
        <v>5.17</v>
      </c>
      <c r="Z352" s="307">
        <f t="shared" si="305"/>
        <v>166.17857142857144</v>
      </c>
      <c r="AA352" s="307">
        <f t="shared" si="290"/>
        <v>12.878839285714287</v>
      </c>
      <c r="AB352" s="307"/>
      <c r="AC352" s="307">
        <f t="shared" si="291"/>
        <v>12.463392857142859</v>
      </c>
      <c r="AD352" s="307"/>
      <c r="AE352" s="307">
        <f t="shared" si="301"/>
        <v>25.342232142857146</v>
      </c>
      <c r="AF352" s="307">
        <f t="shared" si="292"/>
        <v>1.6617857142857144</v>
      </c>
      <c r="AG352" s="324"/>
      <c r="AH352" s="324"/>
      <c r="AI352" s="324"/>
      <c r="AJ352" s="324"/>
    </row>
    <row r="353" spans="1:36" ht="19.5">
      <c r="A353" s="21">
        <f t="shared" si="293"/>
        <v>285</v>
      </c>
      <c r="B353" s="161" t="s">
        <v>507</v>
      </c>
      <c r="C353" s="364" t="s">
        <v>452</v>
      </c>
      <c r="D353" s="313" t="s">
        <v>79</v>
      </c>
      <c r="E353" s="314" t="s">
        <v>715</v>
      </c>
      <c r="F353" s="315">
        <f>417+50+50</f>
        <v>517</v>
      </c>
      <c r="G353" s="316">
        <f t="shared" si="262"/>
        <v>6204</v>
      </c>
      <c r="H353" s="316">
        <v>60</v>
      </c>
      <c r="I353" s="323"/>
      <c r="J353" s="316">
        <f t="shared" si="289"/>
        <v>517</v>
      </c>
      <c r="K353" s="316">
        <v>300</v>
      </c>
      <c r="L353" s="324"/>
      <c r="M353" s="307">
        <v>125</v>
      </c>
      <c r="N353" s="307">
        <f t="shared" si="302"/>
        <v>520.87750000000005</v>
      </c>
      <c r="O353" s="307"/>
      <c r="P353" s="307">
        <f t="shared" si="307"/>
        <v>40.067500000000003</v>
      </c>
      <c r="Q353" s="307"/>
      <c r="R353" s="307"/>
      <c r="S353" s="307">
        <f t="shared" si="303"/>
        <v>504.07499999999999</v>
      </c>
      <c r="T353" s="307">
        <f t="shared" si="263"/>
        <v>38.774999999999999</v>
      </c>
      <c r="U353" s="307"/>
      <c r="V353" s="307"/>
      <c r="W353" s="307">
        <f t="shared" si="306"/>
        <v>1024.9525000000001</v>
      </c>
      <c r="X353" s="307">
        <f t="shared" si="304"/>
        <v>67.209999999999994</v>
      </c>
      <c r="Y353" s="307">
        <f t="shared" si="295"/>
        <v>5.17</v>
      </c>
      <c r="Z353" s="307">
        <f t="shared" si="305"/>
        <v>166.17857142857144</v>
      </c>
      <c r="AA353" s="307">
        <f t="shared" si="290"/>
        <v>12.878839285714287</v>
      </c>
      <c r="AB353" s="307"/>
      <c r="AC353" s="307">
        <f t="shared" si="291"/>
        <v>12.463392857142859</v>
      </c>
      <c r="AD353" s="307"/>
      <c r="AE353" s="307">
        <f t="shared" si="301"/>
        <v>25.342232142857146</v>
      </c>
      <c r="AF353" s="307">
        <f t="shared" si="292"/>
        <v>1.6617857142857144</v>
      </c>
      <c r="AG353" s="324"/>
      <c r="AH353" s="324"/>
      <c r="AI353" s="324"/>
      <c r="AJ353" s="324"/>
    </row>
    <row r="354" spans="1:36" ht="19.5">
      <c r="A354" s="21">
        <f t="shared" si="293"/>
        <v>286</v>
      </c>
      <c r="B354" s="147" t="s">
        <v>507</v>
      </c>
      <c r="C354" s="364" t="s">
        <v>452</v>
      </c>
      <c r="D354" s="313" t="s">
        <v>79</v>
      </c>
      <c r="E354" s="314" t="s">
        <v>715</v>
      </c>
      <c r="F354" s="315">
        <f>417+50</f>
        <v>467</v>
      </c>
      <c r="G354" s="316">
        <f>F354*12</f>
        <v>5604</v>
      </c>
      <c r="H354" s="316">
        <v>60</v>
      </c>
      <c r="I354" s="323"/>
      <c r="J354" s="316">
        <f t="shared" si="289"/>
        <v>467</v>
      </c>
      <c r="K354" s="316">
        <v>300</v>
      </c>
      <c r="L354" s="324"/>
      <c r="M354" s="307">
        <v>125</v>
      </c>
      <c r="N354" s="307">
        <f t="shared" si="302"/>
        <v>470.50250000000005</v>
      </c>
      <c r="O354" s="307"/>
      <c r="P354" s="307">
        <f t="shared" si="307"/>
        <v>36.192500000000003</v>
      </c>
      <c r="Q354" s="307"/>
      <c r="R354" s="307"/>
      <c r="S354" s="307">
        <f t="shared" si="303"/>
        <v>455.32499999999999</v>
      </c>
      <c r="T354" s="307">
        <f t="shared" si="263"/>
        <v>35.024999999999999</v>
      </c>
      <c r="U354" s="307"/>
      <c r="V354" s="307"/>
      <c r="W354" s="307">
        <f>N354+Q354+S354+U354+0.01</f>
        <v>925.83750000000009</v>
      </c>
      <c r="X354" s="307">
        <f t="shared" si="304"/>
        <v>60.71</v>
      </c>
      <c r="Y354" s="307">
        <f t="shared" si="295"/>
        <v>4.67</v>
      </c>
      <c r="Z354" s="307">
        <f t="shared" si="305"/>
        <v>150.10714285714286</v>
      </c>
      <c r="AA354" s="307">
        <f t="shared" si="290"/>
        <v>11.633303571428572</v>
      </c>
      <c r="AB354" s="307"/>
      <c r="AC354" s="307">
        <f t="shared" si="291"/>
        <v>11.258035714285715</v>
      </c>
      <c r="AD354" s="307"/>
      <c r="AE354" s="307">
        <f>AA354+AB354+AC354+AD354</f>
        <v>22.891339285714288</v>
      </c>
      <c r="AF354" s="307">
        <f t="shared" si="292"/>
        <v>1.5010714285714286</v>
      </c>
      <c r="AG354" s="324"/>
      <c r="AH354" s="324"/>
      <c r="AI354" s="324"/>
      <c r="AJ354" s="324"/>
    </row>
    <row r="355" spans="1:36" ht="19.5">
      <c r="A355" s="21">
        <f t="shared" si="293"/>
        <v>287</v>
      </c>
      <c r="B355" s="147" t="s">
        <v>796</v>
      </c>
      <c r="C355" s="364" t="s">
        <v>452</v>
      </c>
      <c r="D355" s="313" t="s">
        <v>79</v>
      </c>
      <c r="E355" s="314" t="s">
        <v>715</v>
      </c>
      <c r="F355" s="315">
        <f>547+50</f>
        <v>597</v>
      </c>
      <c r="G355" s="316">
        <f>F355*12</f>
        <v>7164</v>
      </c>
      <c r="H355" s="316">
        <v>60</v>
      </c>
      <c r="I355" s="323"/>
      <c r="J355" s="316">
        <f>F355</f>
        <v>597</v>
      </c>
      <c r="K355" s="316">
        <v>300</v>
      </c>
      <c r="L355" s="324"/>
      <c r="M355" s="307">
        <v>125</v>
      </c>
      <c r="N355" s="307">
        <f t="shared" si="302"/>
        <v>601.47749999999996</v>
      </c>
      <c r="O355" s="307"/>
      <c r="P355" s="307">
        <f>N355/13</f>
        <v>46.267499999999998</v>
      </c>
      <c r="Q355" s="307"/>
      <c r="R355" s="307"/>
      <c r="S355" s="307">
        <f t="shared" si="303"/>
        <v>582.07499999999993</v>
      </c>
      <c r="T355" s="307">
        <f>S355/13</f>
        <v>44.774999999999991</v>
      </c>
      <c r="U355" s="307"/>
      <c r="V355" s="307"/>
      <c r="W355" s="307">
        <f>N355+Q355+S355+U355</f>
        <v>1183.5524999999998</v>
      </c>
      <c r="X355" s="307">
        <f t="shared" si="304"/>
        <v>77.61</v>
      </c>
      <c r="Y355" s="307">
        <f>X355/13</f>
        <v>5.97</v>
      </c>
      <c r="Z355" s="307">
        <f t="shared" si="305"/>
        <v>191.89285714285714</v>
      </c>
      <c r="AA355" s="307">
        <f>Z355*0.0775</f>
        <v>14.871696428571429</v>
      </c>
      <c r="AB355" s="307"/>
      <c r="AC355" s="307">
        <f>Z355*0.075</f>
        <v>14.391964285714284</v>
      </c>
      <c r="AD355" s="307"/>
      <c r="AE355" s="307">
        <f>AA355+AB355+AC355+AD355+0.01</f>
        <v>29.273660714285715</v>
      </c>
      <c r="AF355" s="307">
        <f>Z355*0.01</f>
        <v>1.9189285714285713</v>
      </c>
      <c r="AG355" s="324"/>
      <c r="AH355" s="324"/>
      <c r="AI355" s="324"/>
      <c r="AJ355" s="324"/>
    </row>
    <row r="356" spans="1:36" ht="18">
      <c r="A356" s="21">
        <f t="shared" si="293"/>
        <v>288</v>
      </c>
      <c r="B356" s="182" t="s">
        <v>720</v>
      </c>
      <c r="C356" s="374" t="s">
        <v>452</v>
      </c>
      <c r="D356" s="157" t="s">
        <v>762</v>
      </c>
      <c r="E356" s="346" t="s">
        <v>677</v>
      </c>
      <c r="F356" s="315">
        <f>417</f>
        <v>417</v>
      </c>
      <c r="G356" s="316">
        <f t="shared" ref="G356:G364" si="308">F356*12</f>
        <v>5004</v>
      </c>
      <c r="H356" s="316">
        <v>60</v>
      </c>
      <c r="I356" s="323"/>
      <c r="J356" s="316">
        <f t="shared" ref="J356:J364" si="309">F356</f>
        <v>417</v>
      </c>
      <c r="K356" s="316">
        <v>300</v>
      </c>
      <c r="L356" s="324"/>
      <c r="M356" s="307"/>
      <c r="N356" s="307">
        <f t="shared" si="302"/>
        <v>420.12750000000005</v>
      </c>
      <c r="O356" s="307"/>
      <c r="P356" s="307">
        <f t="shared" ref="P356:P364" si="310">N356/13</f>
        <v>32.317500000000003</v>
      </c>
      <c r="Q356" s="307"/>
      <c r="R356" s="307"/>
      <c r="S356" s="307">
        <f t="shared" si="303"/>
        <v>406.57499999999999</v>
      </c>
      <c r="T356" s="307">
        <f t="shared" ref="T356:T364" si="311">S356/13</f>
        <v>31.274999999999999</v>
      </c>
      <c r="U356" s="307"/>
      <c r="V356" s="307"/>
      <c r="W356" s="307">
        <f t="shared" ref="W356:W364" si="312">N356+Q356+S356+U356+0.01</f>
        <v>826.71250000000009</v>
      </c>
      <c r="X356" s="307">
        <f t="shared" si="304"/>
        <v>54.21</v>
      </c>
      <c r="Y356" s="307">
        <f t="shared" ref="Y356:Y364" si="313">X356/13</f>
        <v>4.17</v>
      </c>
      <c r="Z356" s="307">
        <f t="shared" si="305"/>
        <v>134.03571428571428</v>
      </c>
      <c r="AA356" s="307">
        <f t="shared" ref="AA356:AA364" si="314">Z356*0.0775</f>
        <v>10.387767857142856</v>
      </c>
      <c r="AB356" s="307"/>
      <c r="AC356" s="307">
        <f t="shared" ref="AC356:AC364" si="315">Z356*0.075</f>
        <v>10.05267857142857</v>
      </c>
      <c r="AD356" s="307"/>
      <c r="AE356" s="307">
        <f t="shared" ref="AE356:AE364" si="316">AA356+AB356+AC356+AD356</f>
        <v>20.440446428571427</v>
      </c>
      <c r="AF356" s="307">
        <f t="shared" ref="AF356:AF364" si="317">Z356*0.01</f>
        <v>1.3403571428571428</v>
      </c>
      <c r="AG356" s="324"/>
      <c r="AH356" s="324"/>
      <c r="AI356" s="324"/>
      <c r="AJ356" s="324"/>
    </row>
    <row r="357" spans="1:36" ht="18">
      <c r="A357" s="21">
        <f t="shared" si="293"/>
        <v>289</v>
      </c>
      <c r="B357" s="182" t="s">
        <v>720</v>
      </c>
      <c r="C357" s="374" t="s">
        <v>452</v>
      </c>
      <c r="D357" s="157" t="s">
        <v>762</v>
      </c>
      <c r="E357" s="346" t="s">
        <v>677</v>
      </c>
      <c r="F357" s="315">
        <f>417</f>
        <v>417</v>
      </c>
      <c r="G357" s="316">
        <f t="shared" si="308"/>
        <v>5004</v>
      </c>
      <c r="H357" s="316">
        <v>60</v>
      </c>
      <c r="I357" s="323"/>
      <c r="J357" s="316">
        <f t="shared" si="309"/>
        <v>417</v>
      </c>
      <c r="K357" s="316">
        <v>300</v>
      </c>
      <c r="L357" s="324"/>
      <c r="M357" s="307"/>
      <c r="N357" s="307">
        <f t="shared" si="302"/>
        <v>420.12750000000005</v>
      </c>
      <c r="O357" s="307"/>
      <c r="P357" s="307">
        <f t="shared" si="310"/>
        <v>32.317500000000003</v>
      </c>
      <c r="Q357" s="307"/>
      <c r="R357" s="307"/>
      <c r="S357" s="307">
        <f t="shared" si="303"/>
        <v>406.57499999999999</v>
      </c>
      <c r="T357" s="307">
        <f t="shared" si="311"/>
        <v>31.274999999999999</v>
      </c>
      <c r="U357" s="307"/>
      <c r="V357" s="307"/>
      <c r="W357" s="307">
        <f t="shared" si="312"/>
        <v>826.71250000000009</v>
      </c>
      <c r="X357" s="307">
        <f t="shared" si="304"/>
        <v>54.21</v>
      </c>
      <c r="Y357" s="307">
        <f t="shared" si="313"/>
        <v>4.17</v>
      </c>
      <c r="Z357" s="307">
        <f t="shared" si="305"/>
        <v>134.03571428571428</v>
      </c>
      <c r="AA357" s="307">
        <f t="shared" si="314"/>
        <v>10.387767857142856</v>
      </c>
      <c r="AB357" s="307"/>
      <c r="AC357" s="307">
        <f t="shared" si="315"/>
        <v>10.05267857142857</v>
      </c>
      <c r="AD357" s="307"/>
      <c r="AE357" s="307">
        <f t="shared" si="316"/>
        <v>20.440446428571427</v>
      </c>
      <c r="AF357" s="307">
        <f t="shared" si="317"/>
        <v>1.3403571428571428</v>
      </c>
      <c r="AG357" s="324"/>
      <c r="AH357" s="324"/>
      <c r="AI357" s="324"/>
      <c r="AJ357" s="324"/>
    </row>
    <row r="358" spans="1:36" ht="18">
      <c r="A358" s="21">
        <f t="shared" si="293"/>
        <v>290</v>
      </c>
      <c r="B358" s="182" t="s">
        <v>720</v>
      </c>
      <c r="C358" s="374" t="s">
        <v>452</v>
      </c>
      <c r="D358" s="157" t="s">
        <v>762</v>
      </c>
      <c r="E358" s="346" t="s">
        <v>677</v>
      </c>
      <c r="F358" s="315">
        <f>417</f>
        <v>417</v>
      </c>
      <c r="G358" s="316">
        <f t="shared" si="308"/>
        <v>5004</v>
      </c>
      <c r="H358" s="316">
        <v>60</v>
      </c>
      <c r="I358" s="323"/>
      <c r="J358" s="316">
        <f t="shared" si="309"/>
        <v>417</v>
      </c>
      <c r="K358" s="316">
        <v>300</v>
      </c>
      <c r="L358" s="324"/>
      <c r="M358" s="307"/>
      <c r="N358" s="307">
        <f t="shared" si="302"/>
        <v>420.12750000000005</v>
      </c>
      <c r="O358" s="307"/>
      <c r="P358" s="307">
        <f t="shared" si="310"/>
        <v>32.317500000000003</v>
      </c>
      <c r="Q358" s="307"/>
      <c r="R358" s="307"/>
      <c r="S358" s="307">
        <f t="shared" si="303"/>
        <v>406.57499999999999</v>
      </c>
      <c r="T358" s="307">
        <f t="shared" si="311"/>
        <v>31.274999999999999</v>
      </c>
      <c r="U358" s="307"/>
      <c r="V358" s="307"/>
      <c r="W358" s="307">
        <f t="shared" si="312"/>
        <v>826.71250000000009</v>
      </c>
      <c r="X358" s="307">
        <f t="shared" si="304"/>
        <v>54.21</v>
      </c>
      <c r="Y358" s="307">
        <f t="shared" si="313"/>
        <v>4.17</v>
      </c>
      <c r="Z358" s="307">
        <f t="shared" si="305"/>
        <v>134.03571428571428</v>
      </c>
      <c r="AA358" s="307">
        <f t="shared" si="314"/>
        <v>10.387767857142856</v>
      </c>
      <c r="AB358" s="307"/>
      <c r="AC358" s="307">
        <f t="shared" si="315"/>
        <v>10.05267857142857</v>
      </c>
      <c r="AD358" s="307"/>
      <c r="AE358" s="307">
        <f t="shared" si="316"/>
        <v>20.440446428571427</v>
      </c>
      <c r="AF358" s="307">
        <f t="shared" si="317"/>
        <v>1.3403571428571428</v>
      </c>
      <c r="AG358" s="324"/>
      <c r="AH358" s="324"/>
      <c r="AI358" s="324"/>
      <c r="AJ358" s="324"/>
    </row>
    <row r="359" spans="1:36" ht="18">
      <c r="A359" s="21">
        <f t="shared" si="293"/>
        <v>291</v>
      </c>
      <c r="B359" s="182" t="s">
        <v>720</v>
      </c>
      <c r="C359" s="374" t="s">
        <v>452</v>
      </c>
      <c r="D359" s="157" t="s">
        <v>762</v>
      </c>
      <c r="E359" s="346" t="s">
        <v>677</v>
      </c>
      <c r="F359" s="315">
        <f>417</f>
        <v>417</v>
      </c>
      <c r="G359" s="316">
        <f t="shared" si="308"/>
        <v>5004</v>
      </c>
      <c r="H359" s="316">
        <v>60</v>
      </c>
      <c r="I359" s="323"/>
      <c r="J359" s="316">
        <f t="shared" si="309"/>
        <v>417</v>
      </c>
      <c r="K359" s="316">
        <v>300</v>
      </c>
      <c r="L359" s="324"/>
      <c r="M359" s="307"/>
      <c r="N359" s="307">
        <f t="shared" si="302"/>
        <v>420.12750000000005</v>
      </c>
      <c r="O359" s="307"/>
      <c r="P359" s="307">
        <f t="shared" si="310"/>
        <v>32.317500000000003</v>
      </c>
      <c r="Q359" s="307"/>
      <c r="R359" s="307"/>
      <c r="S359" s="307">
        <f t="shared" si="303"/>
        <v>406.57499999999999</v>
      </c>
      <c r="T359" s="307">
        <f t="shared" si="311"/>
        <v>31.274999999999999</v>
      </c>
      <c r="U359" s="307"/>
      <c r="V359" s="307"/>
      <c r="W359" s="307">
        <f t="shared" si="312"/>
        <v>826.71250000000009</v>
      </c>
      <c r="X359" s="307">
        <f t="shared" si="304"/>
        <v>54.21</v>
      </c>
      <c r="Y359" s="307">
        <f t="shared" si="313"/>
        <v>4.17</v>
      </c>
      <c r="Z359" s="307">
        <f t="shared" si="305"/>
        <v>134.03571428571428</v>
      </c>
      <c r="AA359" s="307">
        <f t="shared" si="314"/>
        <v>10.387767857142856</v>
      </c>
      <c r="AB359" s="307"/>
      <c r="AC359" s="307">
        <f t="shared" si="315"/>
        <v>10.05267857142857</v>
      </c>
      <c r="AD359" s="307"/>
      <c r="AE359" s="307">
        <f t="shared" si="316"/>
        <v>20.440446428571427</v>
      </c>
      <c r="AF359" s="307">
        <f t="shared" si="317"/>
        <v>1.3403571428571428</v>
      </c>
      <c r="AG359" s="324"/>
      <c r="AH359" s="324"/>
      <c r="AI359" s="324"/>
      <c r="AJ359" s="324"/>
    </row>
    <row r="360" spans="1:36" ht="18">
      <c r="A360" s="21">
        <f t="shared" si="293"/>
        <v>292</v>
      </c>
      <c r="B360" s="182" t="s">
        <v>720</v>
      </c>
      <c r="C360" s="374" t="s">
        <v>452</v>
      </c>
      <c r="D360" s="157" t="s">
        <v>762</v>
      </c>
      <c r="E360" s="346" t="s">
        <v>677</v>
      </c>
      <c r="F360" s="315">
        <f>417</f>
        <v>417</v>
      </c>
      <c r="G360" s="316">
        <f t="shared" si="308"/>
        <v>5004</v>
      </c>
      <c r="H360" s="316">
        <v>60</v>
      </c>
      <c r="I360" s="323"/>
      <c r="J360" s="316">
        <f t="shared" si="309"/>
        <v>417</v>
      </c>
      <c r="K360" s="316">
        <v>300</v>
      </c>
      <c r="L360" s="324"/>
      <c r="M360" s="307"/>
      <c r="N360" s="307">
        <f t="shared" si="302"/>
        <v>420.12750000000005</v>
      </c>
      <c r="O360" s="307"/>
      <c r="P360" s="307">
        <f t="shared" si="310"/>
        <v>32.317500000000003</v>
      </c>
      <c r="Q360" s="307"/>
      <c r="R360" s="307"/>
      <c r="S360" s="307">
        <f t="shared" si="303"/>
        <v>406.57499999999999</v>
      </c>
      <c r="T360" s="307">
        <f t="shared" si="311"/>
        <v>31.274999999999999</v>
      </c>
      <c r="U360" s="307"/>
      <c r="V360" s="307"/>
      <c r="W360" s="307">
        <f t="shared" si="312"/>
        <v>826.71250000000009</v>
      </c>
      <c r="X360" s="307">
        <f t="shared" si="304"/>
        <v>54.21</v>
      </c>
      <c r="Y360" s="307">
        <f t="shared" si="313"/>
        <v>4.17</v>
      </c>
      <c r="Z360" s="307">
        <f t="shared" si="305"/>
        <v>134.03571428571428</v>
      </c>
      <c r="AA360" s="307">
        <f t="shared" si="314"/>
        <v>10.387767857142856</v>
      </c>
      <c r="AB360" s="307"/>
      <c r="AC360" s="307">
        <f t="shared" si="315"/>
        <v>10.05267857142857</v>
      </c>
      <c r="AD360" s="307"/>
      <c r="AE360" s="307">
        <f t="shared" si="316"/>
        <v>20.440446428571427</v>
      </c>
      <c r="AF360" s="307">
        <f t="shared" si="317"/>
        <v>1.3403571428571428</v>
      </c>
      <c r="AG360" s="324"/>
      <c r="AH360" s="324"/>
      <c r="AI360" s="324"/>
      <c r="AJ360" s="324"/>
    </row>
    <row r="361" spans="1:36" ht="18">
      <c r="A361" s="21">
        <f t="shared" si="293"/>
        <v>293</v>
      </c>
      <c r="B361" s="182" t="s">
        <v>720</v>
      </c>
      <c r="C361" s="374" t="s">
        <v>452</v>
      </c>
      <c r="D361" s="157" t="s">
        <v>762</v>
      </c>
      <c r="E361" s="346" t="s">
        <v>677</v>
      </c>
      <c r="F361" s="315">
        <f>417</f>
        <v>417</v>
      </c>
      <c r="G361" s="316">
        <f t="shared" si="308"/>
        <v>5004</v>
      </c>
      <c r="H361" s="316">
        <v>60</v>
      </c>
      <c r="I361" s="323"/>
      <c r="J361" s="316">
        <f t="shared" si="309"/>
        <v>417</v>
      </c>
      <c r="K361" s="316">
        <v>300</v>
      </c>
      <c r="L361" s="324"/>
      <c r="M361" s="307"/>
      <c r="N361" s="307">
        <f t="shared" si="302"/>
        <v>420.12750000000005</v>
      </c>
      <c r="O361" s="307"/>
      <c r="P361" s="307">
        <f t="shared" si="310"/>
        <v>32.317500000000003</v>
      </c>
      <c r="Q361" s="307"/>
      <c r="R361" s="307"/>
      <c r="S361" s="307">
        <f t="shared" si="303"/>
        <v>406.57499999999999</v>
      </c>
      <c r="T361" s="307">
        <f t="shared" si="311"/>
        <v>31.274999999999999</v>
      </c>
      <c r="U361" s="307"/>
      <c r="V361" s="307"/>
      <c r="W361" s="307">
        <f t="shared" si="312"/>
        <v>826.71250000000009</v>
      </c>
      <c r="X361" s="307">
        <f t="shared" si="304"/>
        <v>54.21</v>
      </c>
      <c r="Y361" s="307">
        <f t="shared" si="313"/>
        <v>4.17</v>
      </c>
      <c r="Z361" s="307">
        <f t="shared" si="305"/>
        <v>134.03571428571428</v>
      </c>
      <c r="AA361" s="307">
        <f t="shared" si="314"/>
        <v>10.387767857142856</v>
      </c>
      <c r="AB361" s="307"/>
      <c r="AC361" s="307">
        <f t="shared" si="315"/>
        <v>10.05267857142857</v>
      </c>
      <c r="AD361" s="307"/>
      <c r="AE361" s="307">
        <f t="shared" si="316"/>
        <v>20.440446428571427</v>
      </c>
      <c r="AF361" s="307">
        <f t="shared" si="317"/>
        <v>1.3403571428571428</v>
      </c>
      <c r="AG361" s="324"/>
      <c r="AH361" s="324"/>
      <c r="AI361" s="324"/>
      <c r="AJ361" s="324"/>
    </row>
    <row r="362" spans="1:36" ht="18">
      <c r="A362" s="21">
        <f t="shared" si="293"/>
        <v>294</v>
      </c>
      <c r="B362" s="182" t="s">
        <v>720</v>
      </c>
      <c r="C362" s="374" t="s">
        <v>452</v>
      </c>
      <c r="D362" s="157" t="s">
        <v>762</v>
      </c>
      <c r="E362" s="346" t="s">
        <v>677</v>
      </c>
      <c r="F362" s="315">
        <f>417</f>
        <v>417</v>
      </c>
      <c r="G362" s="316">
        <f t="shared" si="308"/>
        <v>5004</v>
      </c>
      <c r="H362" s="316">
        <v>60</v>
      </c>
      <c r="I362" s="323"/>
      <c r="J362" s="316">
        <f t="shared" si="309"/>
        <v>417</v>
      </c>
      <c r="K362" s="316">
        <v>300</v>
      </c>
      <c r="L362" s="324"/>
      <c r="M362" s="307"/>
      <c r="N362" s="307">
        <f t="shared" si="302"/>
        <v>420.12750000000005</v>
      </c>
      <c r="O362" s="307"/>
      <c r="P362" s="307">
        <f t="shared" si="310"/>
        <v>32.317500000000003</v>
      </c>
      <c r="Q362" s="307"/>
      <c r="R362" s="307"/>
      <c r="S362" s="307">
        <f t="shared" si="303"/>
        <v>406.57499999999999</v>
      </c>
      <c r="T362" s="307">
        <f t="shared" si="311"/>
        <v>31.274999999999999</v>
      </c>
      <c r="U362" s="307"/>
      <c r="V362" s="307"/>
      <c r="W362" s="307">
        <f t="shared" si="312"/>
        <v>826.71250000000009</v>
      </c>
      <c r="X362" s="307">
        <f t="shared" si="304"/>
        <v>54.21</v>
      </c>
      <c r="Y362" s="307">
        <f t="shared" si="313"/>
        <v>4.17</v>
      </c>
      <c r="Z362" s="307">
        <f t="shared" si="305"/>
        <v>134.03571428571428</v>
      </c>
      <c r="AA362" s="307">
        <f t="shared" si="314"/>
        <v>10.387767857142856</v>
      </c>
      <c r="AB362" s="307"/>
      <c r="AC362" s="307">
        <f t="shared" si="315"/>
        <v>10.05267857142857</v>
      </c>
      <c r="AD362" s="307"/>
      <c r="AE362" s="307">
        <f t="shared" si="316"/>
        <v>20.440446428571427</v>
      </c>
      <c r="AF362" s="307">
        <f t="shared" si="317"/>
        <v>1.3403571428571428</v>
      </c>
      <c r="AG362" s="324"/>
      <c r="AH362" s="324"/>
      <c r="AI362" s="324"/>
      <c r="AJ362" s="324"/>
    </row>
    <row r="363" spans="1:36" ht="18">
      <c r="A363" s="21">
        <f t="shared" si="293"/>
        <v>295</v>
      </c>
      <c r="B363" s="182" t="s">
        <v>720</v>
      </c>
      <c r="C363" s="374" t="s">
        <v>452</v>
      </c>
      <c r="D363" s="157" t="s">
        <v>762</v>
      </c>
      <c r="E363" s="346" t="s">
        <v>677</v>
      </c>
      <c r="F363" s="315">
        <f>417</f>
        <v>417</v>
      </c>
      <c r="G363" s="316">
        <f t="shared" si="308"/>
        <v>5004</v>
      </c>
      <c r="H363" s="316">
        <v>60</v>
      </c>
      <c r="I363" s="323"/>
      <c r="J363" s="316">
        <f t="shared" si="309"/>
        <v>417</v>
      </c>
      <c r="K363" s="316">
        <v>300</v>
      </c>
      <c r="L363" s="324"/>
      <c r="M363" s="307"/>
      <c r="N363" s="307">
        <f t="shared" si="302"/>
        <v>420.12750000000005</v>
      </c>
      <c r="O363" s="307"/>
      <c r="P363" s="307">
        <f t="shared" si="310"/>
        <v>32.317500000000003</v>
      </c>
      <c r="Q363" s="307"/>
      <c r="R363" s="307"/>
      <c r="S363" s="307">
        <f t="shared" si="303"/>
        <v>406.57499999999999</v>
      </c>
      <c r="T363" s="307">
        <f t="shared" si="311"/>
        <v>31.274999999999999</v>
      </c>
      <c r="U363" s="307"/>
      <c r="V363" s="307"/>
      <c r="W363" s="307">
        <f t="shared" si="312"/>
        <v>826.71250000000009</v>
      </c>
      <c r="X363" s="307">
        <f t="shared" si="304"/>
        <v>54.21</v>
      </c>
      <c r="Y363" s="307">
        <f t="shared" si="313"/>
        <v>4.17</v>
      </c>
      <c r="Z363" s="307">
        <f t="shared" si="305"/>
        <v>134.03571428571428</v>
      </c>
      <c r="AA363" s="307">
        <f t="shared" si="314"/>
        <v>10.387767857142856</v>
      </c>
      <c r="AB363" s="307"/>
      <c r="AC363" s="307">
        <f t="shared" si="315"/>
        <v>10.05267857142857</v>
      </c>
      <c r="AD363" s="307"/>
      <c r="AE363" s="307">
        <f t="shared" si="316"/>
        <v>20.440446428571427</v>
      </c>
      <c r="AF363" s="307">
        <f t="shared" si="317"/>
        <v>1.3403571428571428</v>
      </c>
      <c r="AG363" s="324"/>
      <c r="AH363" s="324"/>
      <c r="AI363" s="324"/>
      <c r="AJ363" s="324"/>
    </row>
    <row r="364" spans="1:36" ht="18">
      <c r="A364" s="21">
        <f t="shared" si="293"/>
        <v>296</v>
      </c>
      <c r="B364" s="182" t="s">
        <v>720</v>
      </c>
      <c r="C364" s="374" t="s">
        <v>452</v>
      </c>
      <c r="D364" s="157" t="s">
        <v>762</v>
      </c>
      <c r="E364" s="346" t="s">
        <v>677</v>
      </c>
      <c r="F364" s="315">
        <f>417</f>
        <v>417</v>
      </c>
      <c r="G364" s="316">
        <f t="shared" si="308"/>
        <v>5004</v>
      </c>
      <c r="H364" s="316">
        <v>60</v>
      </c>
      <c r="I364" s="323"/>
      <c r="J364" s="316">
        <f t="shared" si="309"/>
        <v>417</v>
      </c>
      <c r="K364" s="316">
        <v>300</v>
      </c>
      <c r="L364" s="324"/>
      <c r="M364" s="307"/>
      <c r="N364" s="307">
        <f t="shared" si="302"/>
        <v>420.12750000000005</v>
      </c>
      <c r="O364" s="307"/>
      <c r="P364" s="307">
        <f t="shared" si="310"/>
        <v>32.317500000000003</v>
      </c>
      <c r="Q364" s="307"/>
      <c r="R364" s="307"/>
      <c r="S364" s="307">
        <f t="shared" si="303"/>
        <v>406.57499999999999</v>
      </c>
      <c r="T364" s="307">
        <f t="shared" si="311"/>
        <v>31.274999999999999</v>
      </c>
      <c r="U364" s="307"/>
      <c r="V364" s="307"/>
      <c r="W364" s="307">
        <f t="shared" si="312"/>
        <v>826.71250000000009</v>
      </c>
      <c r="X364" s="307">
        <f t="shared" si="304"/>
        <v>54.21</v>
      </c>
      <c r="Y364" s="307">
        <f t="shared" si="313"/>
        <v>4.17</v>
      </c>
      <c r="Z364" s="307">
        <f t="shared" si="305"/>
        <v>134.03571428571428</v>
      </c>
      <c r="AA364" s="307">
        <f t="shared" si="314"/>
        <v>10.387767857142856</v>
      </c>
      <c r="AB364" s="307"/>
      <c r="AC364" s="307">
        <f t="shared" si="315"/>
        <v>10.05267857142857</v>
      </c>
      <c r="AD364" s="307"/>
      <c r="AE364" s="307">
        <f t="shared" si="316"/>
        <v>20.440446428571427</v>
      </c>
      <c r="AF364" s="307">
        <f t="shared" si="317"/>
        <v>1.3403571428571428</v>
      </c>
      <c r="AG364" s="324"/>
      <c r="AH364" s="324"/>
      <c r="AI364" s="324"/>
      <c r="AJ364" s="324"/>
    </row>
    <row r="365" spans="1:36" ht="18">
      <c r="A365" s="21">
        <f t="shared" si="293"/>
        <v>297</v>
      </c>
      <c r="B365" s="182" t="s">
        <v>720</v>
      </c>
      <c r="C365" s="374" t="s">
        <v>452</v>
      </c>
      <c r="D365" s="157" t="s">
        <v>762</v>
      </c>
      <c r="E365" s="346" t="s">
        <v>677</v>
      </c>
      <c r="F365" s="315">
        <f>417</f>
        <v>417</v>
      </c>
      <c r="G365" s="316">
        <f t="shared" ref="G365" si="318">F365*12</f>
        <v>5004</v>
      </c>
      <c r="H365" s="316">
        <v>60</v>
      </c>
      <c r="I365" s="323"/>
      <c r="J365" s="316">
        <f t="shared" si="289"/>
        <v>417</v>
      </c>
      <c r="K365" s="316">
        <v>300</v>
      </c>
      <c r="L365" s="324"/>
      <c r="M365" s="307"/>
      <c r="N365" s="307">
        <f t="shared" si="302"/>
        <v>420.12750000000005</v>
      </c>
      <c r="O365" s="307"/>
      <c r="P365" s="307">
        <f t="shared" si="307"/>
        <v>32.317500000000003</v>
      </c>
      <c r="Q365" s="307"/>
      <c r="R365" s="307"/>
      <c r="S365" s="307">
        <f t="shared" si="303"/>
        <v>406.57499999999999</v>
      </c>
      <c r="T365" s="307">
        <f t="shared" si="263"/>
        <v>31.274999999999999</v>
      </c>
      <c r="U365" s="307"/>
      <c r="V365" s="307"/>
      <c r="W365" s="307">
        <f t="shared" ref="W365" si="319">N365+Q365+S365+U365+0.01</f>
        <v>826.71250000000009</v>
      </c>
      <c r="X365" s="307">
        <f t="shared" si="304"/>
        <v>54.21</v>
      </c>
      <c r="Y365" s="307">
        <f t="shared" si="295"/>
        <v>4.17</v>
      </c>
      <c r="Z365" s="307">
        <f t="shared" si="305"/>
        <v>134.03571428571428</v>
      </c>
      <c r="AA365" s="307">
        <f t="shared" si="290"/>
        <v>10.387767857142856</v>
      </c>
      <c r="AB365" s="307"/>
      <c r="AC365" s="307">
        <f t="shared" si="291"/>
        <v>10.05267857142857</v>
      </c>
      <c r="AD365" s="307"/>
      <c r="AE365" s="307">
        <f t="shared" ref="AE365" si="320">AA365+AB365+AC365+AD365</f>
        <v>20.440446428571427</v>
      </c>
      <c r="AF365" s="307">
        <f t="shared" si="292"/>
        <v>1.3403571428571428</v>
      </c>
      <c r="AG365" s="324"/>
      <c r="AH365" s="324"/>
      <c r="AI365" s="324"/>
      <c r="AJ365" s="324"/>
    </row>
    <row r="366" spans="1:36" ht="19.5">
      <c r="A366" s="21">
        <f t="shared" si="293"/>
        <v>298</v>
      </c>
      <c r="B366" s="163" t="s">
        <v>648</v>
      </c>
      <c r="C366" s="364" t="s">
        <v>452</v>
      </c>
      <c r="D366" s="313" t="s">
        <v>79</v>
      </c>
      <c r="E366" s="314" t="s">
        <v>715</v>
      </c>
      <c r="F366" s="315">
        <v>700</v>
      </c>
      <c r="G366" s="316">
        <f>F366*12</f>
        <v>8400</v>
      </c>
      <c r="H366" s="316">
        <v>60</v>
      </c>
      <c r="I366" s="323"/>
      <c r="J366" s="316">
        <f t="shared" si="289"/>
        <v>700</v>
      </c>
      <c r="K366" s="316">
        <v>300</v>
      </c>
      <c r="L366" s="324"/>
      <c r="M366" s="307">
        <v>125</v>
      </c>
      <c r="N366" s="307">
        <f t="shared" si="302"/>
        <v>705.25</v>
      </c>
      <c r="O366" s="307"/>
      <c r="P366" s="307">
        <f t="shared" si="307"/>
        <v>54.25</v>
      </c>
      <c r="Q366" s="307"/>
      <c r="R366" s="307"/>
      <c r="S366" s="307">
        <f t="shared" si="303"/>
        <v>682.5</v>
      </c>
      <c r="T366" s="307">
        <f t="shared" si="263"/>
        <v>52.5</v>
      </c>
      <c r="U366" s="307"/>
      <c r="V366" s="307"/>
      <c r="W366" s="307">
        <f>N366+Q366+S366+U366</f>
        <v>1387.75</v>
      </c>
      <c r="X366" s="307">
        <f t="shared" si="304"/>
        <v>91</v>
      </c>
      <c r="Y366" s="307">
        <f t="shared" si="295"/>
        <v>7</v>
      </c>
      <c r="Z366" s="307">
        <f t="shared" si="305"/>
        <v>225</v>
      </c>
      <c r="AA366" s="307">
        <f t="shared" si="290"/>
        <v>17.4375</v>
      </c>
      <c r="AB366" s="307"/>
      <c r="AC366" s="307">
        <f t="shared" si="291"/>
        <v>16.875</v>
      </c>
      <c r="AD366" s="307"/>
      <c r="AE366" s="307">
        <f>AA366+AB366+AC366+AD366+0.01</f>
        <v>34.322499999999998</v>
      </c>
      <c r="AF366" s="307">
        <f t="shared" si="292"/>
        <v>2.25</v>
      </c>
      <c r="AG366" s="324"/>
      <c r="AH366" s="324"/>
      <c r="AI366" s="324"/>
      <c r="AJ366" s="324"/>
    </row>
    <row r="367" spans="1:36" ht="19.5">
      <c r="A367" s="21">
        <f t="shared" si="293"/>
        <v>299</v>
      </c>
      <c r="B367" s="231" t="s">
        <v>520</v>
      </c>
      <c r="C367" s="364" t="s">
        <v>452</v>
      </c>
      <c r="D367" s="313" t="s">
        <v>79</v>
      </c>
      <c r="E367" s="314" t="s">
        <v>715</v>
      </c>
      <c r="F367" s="315">
        <f>614.86+30+50+50</f>
        <v>744.86</v>
      </c>
      <c r="G367" s="316">
        <f t="shared" si="262"/>
        <v>8938.32</v>
      </c>
      <c r="H367" s="316">
        <v>60</v>
      </c>
      <c r="I367" s="323"/>
      <c r="J367" s="316">
        <f t="shared" si="289"/>
        <v>744.86</v>
      </c>
      <c r="K367" s="316">
        <v>300</v>
      </c>
      <c r="L367" s="324"/>
      <c r="M367" s="307">
        <v>125</v>
      </c>
      <c r="N367" s="307">
        <f t="shared" si="302"/>
        <v>750.44645000000003</v>
      </c>
      <c r="O367" s="321"/>
      <c r="P367" s="307">
        <f>N367/13</f>
        <v>57.726649999999999</v>
      </c>
      <c r="Q367" s="307"/>
      <c r="R367" s="307"/>
      <c r="S367" s="307">
        <f t="shared" si="303"/>
        <v>726.23850000000004</v>
      </c>
      <c r="T367" s="307">
        <f t="shared" si="263"/>
        <v>55.864500000000007</v>
      </c>
      <c r="U367" s="307"/>
      <c r="V367" s="307"/>
      <c r="W367" s="307">
        <f t="shared" ref="W367:W368" si="321">N367+Q367+S367+U367</f>
        <v>1476.6849500000001</v>
      </c>
      <c r="X367" s="307">
        <f t="shared" si="304"/>
        <v>96.831800000000001</v>
      </c>
      <c r="Y367" s="307">
        <f t="shared" si="295"/>
        <v>7.4485999999999999</v>
      </c>
      <c r="Z367" s="307">
        <f t="shared" si="305"/>
        <v>239.41928571428573</v>
      </c>
      <c r="AA367" s="307">
        <f t="shared" si="290"/>
        <v>18.554994642857146</v>
      </c>
      <c r="AB367" s="307"/>
      <c r="AC367" s="307">
        <f t="shared" si="291"/>
        <v>17.956446428571429</v>
      </c>
      <c r="AD367" s="307"/>
      <c r="AE367" s="307">
        <f t="shared" ref="AE367:AE368" si="322">AA367+AB367+AC367+AD367</f>
        <v>36.511441071428578</v>
      </c>
      <c r="AF367" s="307">
        <f t="shared" si="292"/>
        <v>2.3941928571428575</v>
      </c>
      <c r="AG367" s="324"/>
      <c r="AH367" s="324"/>
      <c r="AI367" s="324"/>
      <c r="AJ367" s="324"/>
    </row>
    <row r="368" spans="1:36" ht="19.5">
      <c r="A368" s="21">
        <f t="shared" si="293"/>
        <v>300</v>
      </c>
      <c r="B368" s="231" t="s">
        <v>520</v>
      </c>
      <c r="C368" s="364" t="s">
        <v>452</v>
      </c>
      <c r="D368" s="313" t="s">
        <v>79</v>
      </c>
      <c r="E368" s="314" t="s">
        <v>715</v>
      </c>
      <c r="F368" s="315">
        <f>614.86+30+50+50</f>
        <v>744.86</v>
      </c>
      <c r="G368" s="316">
        <f t="shared" si="262"/>
        <v>8938.32</v>
      </c>
      <c r="H368" s="316">
        <v>60</v>
      </c>
      <c r="I368" s="323"/>
      <c r="J368" s="316">
        <f t="shared" si="289"/>
        <v>744.86</v>
      </c>
      <c r="K368" s="316">
        <v>300</v>
      </c>
      <c r="L368" s="324"/>
      <c r="M368" s="307">
        <v>125</v>
      </c>
      <c r="N368" s="307">
        <f t="shared" si="302"/>
        <v>750.44645000000003</v>
      </c>
      <c r="O368" s="307">
        <f>N368/13</f>
        <v>57.726649999999999</v>
      </c>
      <c r="P368" s="307"/>
      <c r="Q368" s="307"/>
      <c r="R368" s="307"/>
      <c r="S368" s="307">
        <f t="shared" si="303"/>
        <v>726.23850000000004</v>
      </c>
      <c r="T368" s="307">
        <f t="shared" si="263"/>
        <v>55.864500000000007</v>
      </c>
      <c r="U368" s="307"/>
      <c r="V368" s="307"/>
      <c r="W368" s="307">
        <f t="shared" si="321"/>
        <v>1476.6849500000001</v>
      </c>
      <c r="X368" s="307">
        <f t="shared" si="304"/>
        <v>96.831800000000001</v>
      </c>
      <c r="Y368" s="307">
        <f t="shared" si="295"/>
        <v>7.4485999999999999</v>
      </c>
      <c r="Z368" s="307">
        <f t="shared" si="305"/>
        <v>239.41928571428573</v>
      </c>
      <c r="AA368" s="307">
        <f t="shared" si="290"/>
        <v>18.554994642857146</v>
      </c>
      <c r="AB368" s="307"/>
      <c r="AC368" s="307">
        <f t="shared" si="291"/>
        <v>17.956446428571429</v>
      </c>
      <c r="AD368" s="307"/>
      <c r="AE368" s="307">
        <f t="shared" si="322"/>
        <v>36.511441071428578</v>
      </c>
      <c r="AF368" s="307">
        <f t="shared" si="292"/>
        <v>2.3941928571428575</v>
      </c>
      <c r="AG368" s="324"/>
      <c r="AH368" s="324"/>
      <c r="AI368" s="324"/>
      <c r="AJ368" s="324"/>
    </row>
    <row r="369" spans="1:36" ht="19.5">
      <c r="A369" s="21">
        <f t="shared" si="293"/>
        <v>301</v>
      </c>
      <c r="B369" s="231" t="s">
        <v>520</v>
      </c>
      <c r="C369" s="364" t="s">
        <v>452</v>
      </c>
      <c r="D369" s="313" t="s">
        <v>79</v>
      </c>
      <c r="E369" s="314" t="s">
        <v>715</v>
      </c>
      <c r="F369" s="315">
        <f>614.86+30+50+50</f>
        <v>744.86</v>
      </c>
      <c r="G369" s="316">
        <f>F369*12</f>
        <v>8938.32</v>
      </c>
      <c r="H369" s="316">
        <v>60</v>
      </c>
      <c r="I369" s="323"/>
      <c r="J369" s="316">
        <f>F369</f>
        <v>744.86</v>
      </c>
      <c r="K369" s="316">
        <v>300</v>
      </c>
      <c r="L369" s="324"/>
      <c r="M369" s="307">
        <v>125</v>
      </c>
      <c r="N369" s="307">
        <f t="shared" si="302"/>
        <v>750.44645000000003</v>
      </c>
      <c r="O369" s="321"/>
      <c r="P369" s="307">
        <f t="shared" ref="P369:P374" si="323">N369/13</f>
        <v>57.726649999999999</v>
      </c>
      <c r="Q369" s="307"/>
      <c r="R369" s="307"/>
      <c r="S369" s="307">
        <f t="shared" si="303"/>
        <v>726.23850000000004</v>
      </c>
      <c r="T369" s="307">
        <f>S369/13</f>
        <v>55.864500000000007</v>
      </c>
      <c r="U369" s="307"/>
      <c r="V369" s="307"/>
      <c r="W369" s="307">
        <f>N369+Q369+S369+U369</f>
        <v>1476.6849500000001</v>
      </c>
      <c r="X369" s="307">
        <f t="shared" si="304"/>
        <v>96.831800000000001</v>
      </c>
      <c r="Y369" s="307">
        <f>X369/13</f>
        <v>7.4485999999999999</v>
      </c>
      <c r="Z369" s="307">
        <f t="shared" si="305"/>
        <v>239.41928571428573</v>
      </c>
      <c r="AA369" s="307">
        <f>Z369*0.0775</f>
        <v>18.554994642857146</v>
      </c>
      <c r="AB369" s="307"/>
      <c r="AC369" s="307">
        <f>Z369*0.075</f>
        <v>17.956446428571429</v>
      </c>
      <c r="AD369" s="307"/>
      <c r="AE369" s="307">
        <f>AA369+AB369+AC369+AD369</f>
        <v>36.511441071428578</v>
      </c>
      <c r="AF369" s="307">
        <f>Z369*0.01</f>
        <v>2.3941928571428575</v>
      </c>
      <c r="AG369" s="324"/>
      <c r="AH369" s="324"/>
      <c r="AI369" s="324"/>
      <c r="AJ369" s="324"/>
    </row>
    <row r="370" spans="1:36" ht="19.5">
      <c r="A370" s="21">
        <f t="shared" si="293"/>
        <v>302</v>
      </c>
      <c r="B370" s="231" t="s">
        <v>520</v>
      </c>
      <c r="C370" s="364" t="s">
        <v>452</v>
      </c>
      <c r="D370" s="313" t="s">
        <v>79</v>
      </c>
      <c r="E370" s="314" t="s">
        <v>715</v>
      </c>
      <c r="F370" s="315">
        <f>601.72+30+50+50</f>
        <v>731.72</v>
      </c>
      <c r="G370" s="316">
        <f t="shared" si="262"/>
        <v>8780.64</v>
      </c>
      <c r="H370" s="316">
        <v>60</v>
      </c>
      <c r="I370" s="323"/>
      <c r="J370" s="316">
        <f t="shared" si="289"/>
        <v>731.72</v>
      </c>
      <c r="K370" s="316">
        <v>300</v>
      </c>
      <c r="L370" s="324"/>
      <c r="M370" s="307">
        <v>125</v>
      </c>
      <c r="N370" s="307">
        <f t="shared" si="302"/>
        <v>737.2079</v>
      </c>
      <c r="O370" s="321"/>
      <c r="P370" s="307">
        <f t="shared" si="323"/>
        <v>56.708300000000001</v>
      </c>
      <c r="Q370" s="307"/>
      <c r="R370" s="307"/>
      <c r="S370" s="307">
        <f t="shared" si="303"/>
        <v>713.42700000000002</v>
      </c>
      <c r="T370" s="307">
        <f t="shared" si="263"/>
        <v>54.879000000000005</v>
      </c>
      <c r="U370" s="307"/>
      <c r="V370" s="307"/>
      <c r="W370" s="307">
        <f>N370+Q370+S370+U370</f>
        <v>1450.6349</v>
      </c>
      <c r="X370" s="307">
        <f t="shared" si="304"/>
        <v>95.12360000000001</v>
      </c>
      <c r="Y370" s="307">
        <f t="shared" si="295"/>
        <v>7.3172000000000006</v>
      </c>
      <c r="Z370" s="307">
        <f t="shared" si="305"/>
        <v>235.1957142857143</v>
      </c>
      <c r="AA370" s="307">
        <f t="shared" si="290"/>
        <v>18.227667857142858</v>
      </c>
      <c r="AB370" s="307"/>
      <c r="AC370" s="307">
        <f t="shared" si="291"/>
        <v>17.639678571428572</v>
      </c>
      <c r="AD370" s="307"/>
      <c r="AE370" s="307">
        <f>AA370+AB370+AC370+AD370-0.01</f>
        <v>35.857346428571432</v>
      </c>
      <c r="AF370" s="307">
        <f t="shared" si="292"/>
        <v>2.3519571428571431</v>
      </c>
      <c r="AG370" s="324"/>
      <c r="AH370" s="324"/>
      <c r="AI370" s="324"/>
      <c r="AJ370" s="324"/>
    </row>
    <row r="371" spans="1:36" ht="19.5">
      <c r="A371" s="21">
        <f t="shared" si="293"/>
        <v>303</v>
      </c>
      <c r="B371" s="231" t="s">
        <v>527</v>
      </c>
      <c r="C371" s="364" t="s">
        <v>452</v>
      </c>
      <c r="D371" s="313" t="s">
        <v>79</v>
      </c>
      <c r="E371" s="314" t="s">
        <v>715</v>
      </c>
      <c r="F371" s="315">
        <f t="shared" ref="F371:F378" si="324">547+30+50+50</f>
        <v>677</v>
      </c>
      <c r="G371" s="316">
        <f t="shared" si="262"/>
        <v>8124</v>
      </c>
      <c r="H371" s="316">
        <v>60</v>
      </c>
      <c r="I371" s="323"/>
      <c r="J371" s="316">
        <f t="shared" si="289"/>
        <v>677</v>
      </c>
      <c r="K371" s="316">
        <v>300</v>
      </c>
      <c r="L371" s="324"/>
      <c r="M371" s="307">
        <v>125</v>
      </c>
      <c r="N371" s="307">
        <f t="shared" si="302"/>
        <v>682.07749999999999</v>
      </c>
      <c r="O371" s="321"/>
      <c r="P371" s="307">
        <f t="shared" si="323"/>
        <v>52.467500000000001</v>
      </c>
      <c r="Q371" s="307"/>
      <c r="R371" s="307"/>
      <c r="S371" s="307">
        <f t="shared" si="303"/>
        <v>660.07499999999993</v>
      </c>
      <c r="T371" s="307">
        <f t="shared" si="263"/>
        <v>50.774999999999991</v>
      </c>
      <c r="U371" s="307"/>
      <c r="V371" s="307"/>
      <c r="W371" s="307">
        <f>N371+Q371+S371+U371</f>
        <v>1342.1524999999999</v>
      </c>
      <c r="X371" s="307">
        <f t="shared" si="304"/>
        <v>88.01</v>
      </c>
      <c r="Y371" s="307">
        <f t="shared" si="295"/>
        <v>6.7700000000000005</v>
      </c>
      <c r="Z371" s="307">
        <f t="shared" si="305"/>
        <v>217.60714285714283</v>
      </c>
      <c r="AA371" s="307">
        <f t="shared" si="290"/>
        <v>16.864553571428569</v>
      </c>
      <c r="AB371" s="307"/>
      <c r="AC371" s="307">
        <f t="shared" si="291"/>
        <v>16.320535714285711</v>
      </c>
      <c r="AD371" s="307"/>
      <c r="AE371" s="307">
        <f t="shared" ref="AE371:AE376" si="325">AA371+AB371+AC371+AD371+0.01</f>
        <v>33.195089285714282</v>
      </c>
      <c r="AF371" s="307">
        <f t="shared" si="292"/>
        <v>2.1760714285714284</v>
      </c>
      <c r="AG371" s="324"/>
      <c r="AH371" s="324"/>
      <c r="AI371" s="324"/>
      <c r="AJ371" s="324"/>
    </row>
    <row r="372" spans="1:36" ht="19.5">
      <c r="A372" s="21">
        <f t="shared" si="293"/>
        <v>304</v>
      </c>
      <c r="B372" s="231" t="s">
        <v>527</v>
      </c>
      <c r="C372" s="364" t="s">
        <v>452</v>
      </c>
      <c r="D372" s="313" t="s">
        <v>79</v>
      </c>
      <c r="E372" s="314" t="s">
        <v>715</v>
      </c>
      <c r="F372" s="315">
        <f t="shared" si="324"/>
        <v>677</v>
      </c>
      <c r="G372" s="316">
        <f t="shared" si="262"/>
        <v>8124</v>
      </c>
      <c r="H372" s="316">
        <v>60</v>
      </c>
      <c r="I372" s="323"/>
      <c r="J372" s="316">
        <f t="shared" si="289"/>
        <v>677</v>
      </c>
      <c r="K372" s="316">
        <v>300</v>
      </c>
      <c r="L372" s="324"/>
      <c r="M372" s="307">
        <v>125</v>
      </c>
      <c r="N372" s="307">
        <f t="shared" si="302"/>
        <v>682.07749999999999</v>
      </c>
      <c r="O372" s="321"/>
      <c r="P372" s="307">
        <f t="shared" si="323"/>
        <v>52.467500000000001</v>
      </c>
      <c r="Q372" s="307"/>
      <c r="R372" s="307"/>
      <c r="S372" s="307">
        <f t="shared" si="303"/>
        <v>660.07499999999993</v>
      </c>
      <c r="T372" s="307">
        <f t="shared" si="263"/>
        <v>50.774999999999991</v>
      </c>
      <c r="U372" s="307"/>
      <c r="V372" s="307"/>
      <c r="W372" s="307">
        <f t="shared" ref="W372:W384" si="326">N372+Q372+S372+U372</f>
        <v>1342.1524999999999</v>
      </c>
      <c r="X372" s="307">
        <f t="shared" si="304"/>
        <v>88.01</v>
      </c>
      <c r="Y372" s="307">
        <f t="shared" si="295"/>
        <v>6.7700000000000005</v>
      </c>
      <c r="Z372" s="307">
        <f t="shared" si="305"/>
        <v>217.60714285714283</v>
      </c>
      <c r="AA372" s="307">
        <f t="shared" si="290"/>
        <v>16.864553571428569</v>
      </c>
      <c r="AB372" s="307"/>
      <c r="AC372" s="307">
        <f t="shared" si="291"/>
        <v>16.320535714285711</v>
      </c>
      <c r="AD372" s="307"/>
      <c r="AE372" s="307">
        <f t="shared" si="325"/>
        <v>33.195089285714282</v>
      </c>
      <c r="AF372" s="307">
        <f t="shared" si="292"/>
        <v>2.1760714285714284</v>
      </c>
      <c r="AG372" s="324"/>
      <c r="AH372" s="324"/>
      <c r="AI372" s="324"/>
      <c r="AJ372" s="324"/>
    </row>
    <row r="373" spans="1:36" ht="19.5">
      <c r="A373" s="21">
        <f t="shared" si="293"/>
        <v>305</v>
      </c>
      <c r="B373" s="231" t="s">
        <v>527</v>
      </c>
      <c r="C373" s="364" t="s">
        <v>452</v>
      </c>
      <c r="D373" s="313" t="s">
        <v>79</v>
      </c>
      <c r="E373" s="314" t="s">
        <v>715</v>
      </c>
      <c r="F373" s="315">
        <f t="shared" si="324"/>
        <v>677</v>
      </c>
      <c r="G373" s="316">
        <f t="shared" si="262"/>
        <v>8124</v>
      </c>
      <c r="H373" s="316">
        <v>60</v>
      </c>
      <c r="I373" s="323"/>
      <c r="J373" s="316">
        <f t="shared" si="289"/>
        <v>677</v>
      </c>
      <c r="K373" s="316">
        <v>300</v>
      </c>
      <c r="L373" s="324"/>
      <c r="M373" s="307">
        <v>125</v>
      </c>
      <c r="N373" s="307">
        <f t="shared" si="302"/>
        <v>682.07749999999999</v>
      </c>
      <c r="O373" s="321"/>
      <c r="P373" s="307">
        <f t="shared" si="323"/>
        <v>52.467500000000001</v>
      </c>
      <c r="Q373" s="307"/>
      <c r="R373" s="307"/>
      <c r="S373" s="307">
        <f t="shared" si="303"/>
        <v>660.07499999999993</v>
      </c>
      <c r="T373" s="307">
        <f t="shared" si="263"/>
        <v>50.774999999999991</v>
      </c>
      <c r="U373" s="307"/>
      <c r="V373" s="307"/>
      <c r="W373" s="307">
        <f t="shared" si="326"/>
        <v>1342.1524999999999</v>
      </c>
      <c r="X373" s="307">
        <f t="shared" si="304"/>
        <v>88.01</v>
      </c>
      <c r="Y373" s="307">
        <f t="shared" si="295"/>
        <v>6.7700000000000005</v>
      </c>
      <c r="Z373" s="307">
        <f t="shared" si="305"/>
        <v>217.60714285714283</v>
      </c>
      <c r="AA373" s="307">
        <f t="shared" si="290"/>
        <v>16.864553571428569</v>
      </c>
      <c r="AB373" s="307"/>
      <c r="AC373" s="307">
        <f t="shared" si="291"/>
        <v>16.320535714285711</v>
      </c>
      <c r="AD373" s="307"/>
      <c r="AE373" s="307">
        <f t="shared" si="325"/>
        <v>33.195089285714282</v>
      </c>
      <c r="AF373" s="307">
        <f t="shared" si="292"/>
        <v>2.1760714285714284</v>
      </c>
      <c r="AG373" s="324"/>
      <c r="AH373" s="324"/>
      <c r="AI373" s="324"/>
      <c r="AJ373" s="324"/>
    </row>
    <row r="374" spans="1:36" ht="19.5">
      <c r="A374" s="21">
        <f t="shared" si="293"/>
        <v>306</v>
      </c>
      <c r="B374" s="231" t="s">
        <v>527</v>
      </c>
      <c r="C374" s="364" t="s">
        <v>452</v>
      </c>
      <c r="D374" s="313" t="s">
        <v>79</v>
      </c>
      <c r="E374" s="314" t="s">
        <v>715</v>
      </c>
      <c r="F374" s="315">
        <f t="shared" si="324"/>
        <v>677</v>
      </c>
      <c r="G374" s="316">
        <f t="shared" si="262"/>
        <v>8124</v>
      </c>
      <c r="H374" s="316">
        <v>60</v>
      </c>
      <c r="I374" s="323"/>
      <c r="J374" s="316">
        <f t="shared" si="289"/>
        <v>677</v>
      </c>
      <c r="K374" s="316">
        <v>300</v>
      </c>
      <c r="L374" s="324"/>
      <c r="M374" s="307">
        <v>125</v>
      </c>
      <c r="N374" s="307">
        <f t="shared" si="302"/>
        <v>682.07749999999999</v>
      </c>
      <c r="O374" s="321"/>
      <c r="P374" s="307">
        <f t="shared" si="323"/>
        <v>52.467500000000001</v>
      </c>
      <c r="Q374" s="307"/>
      <c r="R374" s="307"/>
      <c r="S374" s="307">
        <f t="shared" si="303"/>
        <v>660.07499999999993</v>
      </c>
      <c r="T374" s="307">
        <f t="shared" si="263"/>
        <v>50.774999999999991</v>
      </c>
      <c r="U374" s="307"/>
      <c r="V374" s="307"/>
      <c r="W374" s="307">
        <f t="shared" si="326"/>
        <v>1342.1524999999999</v>
      </c>
      <c r="X374" s="307">
        <f t="shared" si="304"/>
        <v>88.01</v>
      </c>
      <c r="Y374" s="307">
        <f t="shared" si="295"/>
        <v>6.7700000000000005</v>
      </c>
      <c r="Z374" s="307">
        <f t="shared" si="305"/>
        <v>217.60714285714283</v>
      </c>
      <c r="AA374" s="307">
        <f t="shared" si="290"/>
        <v>16.864553571428569</v>
      </c>
      <c r="AB374" s="307"/>
      <c r="AC374" s="307">
        <f t="shared" si="291"/>
        <v>16.320535714285711</v>
      </c>
      <c r="AD374" s="307"/>
      <c r="AE374" s="307">
        <f t="shared" si="325"/>
        <v>33.195089285714282</v>
      </c>
      <c r="AF374" s="307">
        <f t="shared" si="292"/>
        <v>2.1760714285714284</v>
      </c>
      <c r="AG374" s="324"/>
      <c r="AH374" s="324"/>
      <c r="AI374" s="324"/>
      <c r="AJ374" s="324"/>
    </row>
    <row r="375" spans="1:36" ht="19.5">
      <c r="A375" s="21">
        <f t="shared" si="293"/>
        <v>307</v>
      </c>
      <c r="B375" s="231" t="s">
        <v>527</v>
      </c>
      <c r="C375" s="364" t="s">
        <v>452</v>
      </c>
      <c r="D375" s="313" t="s">
        <v>79</v>
      </c>
      <c r="E375" s="314" t="s">
        <v>715</v>
      </c>
      <c r="F375" s="315">
        <f t="shared" si="324"/>
        <v>677</v>
      </c>
      <c r="G375" s="316">
        <f t="shared" si="262"/>
        <v>8124</v>
      </c>
      <c r="H375" s="316">
        <v>60</v>
      </c>
      <c r="I375" s="323"/>
      <c r="J375" s="316">
        <f t="shared" si="289"/>
        <v>677</v>
      </c>
      <c r="K375" s="316">
        <v>300</v>
      </c>
      <c r="L375" s="324"/>
      <c r="M375" s="307">
        <v>125</v>
      </c>
      <c r="N375" s="307">
        <f t="shared" si="302"/>
        <v>682.07749999999999</v>
      </c>
      <c r="O375" s="307">
        <f>N375/13</f>
        <v>52.467500000000001</v>
      </c>
      <c r="P375" s="307"/>
      <c r="Q375" s="307"/>
      <c r="R375" s="307"/>
      <c r="S375" s="307">
        <f t="shared" si="303"/>
        <v>660.07499999999993</v>
      </c>
      <c r="T375" s="307">
        <f t="shared" si="263"/>
        <v>50.774999999999991</v>
      </c>
      <c r="U375" s="307"/>
      <c r="V375" s="307"/>
      <c r="W375" s="307">
        <f t="shared" si="326"/>
        <v>1342.1524999999999</v>
      </c>
      <c r="X375" s="307">
        <f t="shared" si="304"/>
        <v>88.01</v>
      </c>
      <c r="Y375" s="307">
        <f t="shared" si="295"/>
        <v>6.7700000000000005</v>
      </c>
      <c r="Z375" s="307">
        <f t="shared" si="305"/>
        <v>217.60714285714283</v>
      </c>
      <c r="AA375" s="307">
        <f t="shared" si="290"/>
        <v>16.864553571428569</v>
      </c>
      <c r="AB375" s="307"/>
      <c r="AC375" s="307">
        <f t="shared" si="291"/>
        <v>16.320535714285711</v>
      </c>
      <c r="AD375" s="307"/>
      <c r="AE375" s="307">
        <f t="shared" si="325"/>
        <v>33.195089285714282</v>
      </c>
      <c r="AF375" s="307">
        <f t="shared" si="292"/>
        <v>2.1760714285714284</v>
      </c>
      <c r="AG375" s="324"/>
      <c r="AH375" s="324"/>
      <c r="AI375" s="324"/>
      <c r="AJ375" s="324"/>
    </row>
    <row r="376" spans="1:36" ht="19.5">
      <c r="A376" s="21">
        <f t="shared" si="293"/>
        <v>308</v>
      </c>
      <c r="B376" s="231" t="s">
        <v>527</v>
      </c>
      <c r="C376" s="364" t="s">
        <v>452</v>
      </c>
      <c r="D376" s="313" t="s">
        <v>79</v>
      </c>
      <c r="E376" s="314" t="s">
        <v>715</v>
      </c>
      <c r="F376" s="315">
        <f t="shared" si="324"/>
        <v>677</v>
      </c>
      <c r="G376" s="316">
        <f t="shared" si="262"/>
        <v>8124</v>
      </c>
      <c r="H376" s="316">
        <v>60</v>
      </c>
      <c r="I376" s="323"/>
      <c r="J376" s="316">
        <f t="shared" si="289"/>
        <v>677</v>
      </c>
      <c r="K376" s="316">
        <v>300</v>
      </c>
      <c r="L376" s="324"/>
      <c r="M376" s="307">
        <v>125</v>
      </c>
      <c r="N376" s="307">
        <f t="shared" si="302"/>
        <v>682.07749999999999</v>
      </c>
      <c r="O376" s="321"/>
      <c r="P376" s="307">
        <f>N376/13</f>
        <v>52.467500000000001</v>
      </c>
      <c r="Q376" s="307"/>
      <c r="R376" s="307"/>
      <c r="S376" s="307">
        <f t="shared" si="303"/>
        <v>660.07499999999993</v>
      </c>
      <c r="T376" s="307">
        <f t="shared" si="263"/>
        <v>50.774999999999991</v>
      </c>
      <c r="U376" s="307"/>
      <c r="V376" s="307"/>
      <c r="W376" s="307">
        <f t="shared" si="326"/>
        <v>1342.1524999999999</v>
      </c>
      <c r="X376" s="307">
        <f t="shared" si="304"/>
        <v>88.01</v>
      </c>
      <c r="Y376" s="307">
        <f t="shared" si="295"/>
        <v>6.7700000000000005</v>
      </c>
      <c r="Z376" s="307">
        <f t="shared" si="305"/>
        <v>217.60714285714283</v>
      </c>
      <c r="AA376" s="307">
        <f t="shared" si="290"/>
        <v>16.864553571428569</v>
      </c>
      <c r="AB376" s="307"/>
      <c r="AC376" s="307">
        <f t="shared" si="291"/>
        <v>16.320535714285711</v>
      </c>
      <c r="AD376" s="307"/>
      <c r="AE376" s="307">
        <f t="shared" si="325"/>
        <v>33.195089285714282</v>
      </c>
      <c r="AF376" s="307">
        <f t="shared" si="292"/>
        <v>2.1760714285714284</v>
      </c>
      <c r="AG376" s="324"/>
      <c r="AH376" s="324"/>
      <c r="AI376" s="324"/>
      <c r="AJ376" s="324"/>
    </row>
    <row r="377" spans="1:36" ht="19.5">
      <c r="A377" s="21">
        <f t="shared" si="293"/>
        <v>309</v>
      </c>
      <c r="B377" s="231" t="s">
        <v>527</v>
      </c>
      <c r="C377" s="364" t="s">
        <v>452</v>
      </c>
      <c r="D377" s="313" t="s">
        <v>79</v>
      </c>
      <c r="E377" s="314" t="s">
        <v>715</v>
      </c>
      <c r="F377" s="315">
        <f t="shared" si="324"/>
        <v>677</v>
      </c>
      <c r="G377" s="316">
        <f>F377*12</f>
        <v>8124</v>
      </c>
      <c r="H377" s="316">
        <v>60</v>
      </c>
      <c r="I377" s="323"/>
      <c r="J377" s="316">
        <f t="shared" si="289"/>
        <v>677</v>
      </c>
      <c r="K377" s="316">
        <v>300</v>
      </c>
      <c r="L377" s="324"/>
      <c r="M377" s="307">
        <v>125</v>
      </c>
      <c r="N377" s="307">
        <f t="shared" si="302"/>
        <v>682.07749999999999</v>
      </c>
      <c r="O377" s="307">
        <f>N377/13</f>
        <v>52.467500000000001</v>
      </c>
      <c r="P377" s="307"/>
      <c r="Q377" s="307"/>
      <c r="R377" s="307"/>
      <c r="S377" s="307">
        <f t="shared" si="303"/>
        <v>660.07499999999993</v>
      </c>
      <c r="T377" s="307">
        <f>S377/13</f>
        <v>50.774999999999991</v>
      </c>
      <c r="U377" s="307"/>
      <c r="V377" s="307"/>
      <c r="W377" s="307">
        <f>N377+Q377+S377+U377</f>
        <v>1342.1524999999999</v>
      </c>
      <c r="X377" s="307">
        <f t="shared" si="304"/>
        <v>88.01</v>
      </c>
      <c r="Y377" s="307">
        <f>X377/13</f>
        <v>6.7700000000000005</v>
      </c>
      <c r="Z377" s="307">
        <f t="shared" si="305"/>
        <v>217.60714285714283</v>
      </c>
      <c r="AA377" s="307">
        <f t="shared" si="290"/>
        <v>16.864553571428569</v>
      </c>
      <c r="AB377" s="307"/>
      <c r="AC377" s="307">
        <f t="shared" si="291"/>
        <v>16.320535714285711</v>
      </c>
      <c r="AD377" s="307"/>
      <c r="AE377" s="307">
        <f>AA377+AB377+AC377+AD377+0.01</f>
        <v>33.195089285714282</v>
      </c>
      <c r="AF377" s="307">
        <f t="shared" si="292"/>
        <v>2.1760714285714284</v>
      </c>
      <c r="AG377" s="324"/>
      <c r="AH377" s="324"/>
      <c r="AI377" s="324"/>
      <c r="AJ377" s="324"/>
    </row>
    <row r="378" spans="1:36" ht="19.5">
      <c r="A378" s="21">
        <f t="shared" si="293"/>
        <v>310</v>
      </c>
      <c r="B378" s="231" t="s">
        <v>527</v>
      </c>
      <c r="C378" s="364" t="s">
        <v>452</v>
      </c>
      <c r="D378" s="313" t="s">
        <v>79</v>
      </c>
      <c r="E378" s="314" t="s">
        <v>715</v>
      </c>
      <c r="F378" s="315">
        <f t="shared" si="324"/>
        <v>677</v>
      </c>
      <c r="G378" s="316">
        <f>F378*12</f>
        <v>8124</v>
      </c>
      <c r="H378" s="316">
        <v>60</v>
      </c>
      <c r="I378" s="323"/>
      <c r="J378" s="316">
        <f>F378</f>
        <v>677</v>
      </c>
      <c r="K378" s="316">
        <v>300</v>
      </c>
      <c r="L378" s="324"/>
      <c r="M378" s="307">
        <v>125</v>
      </c>
      <c r="N378" s="307">
        <f t="shared" si="302"/>
        <v>682.07749999999999</v>
      </c>
      <c r="O378" s="307">
        <f>N378/13</f>
        <v>52.467500000000001</v>
      </c>
      <c r="P378" s="307"/>
      <c r="Q378" s="324"/>
      <c r="R378" s="324"/>
      <c r="S378" s="307">
        <f t="shared" si="303"/>
        <v>660.07499999999993</v>
      </c>
      <c r="T378" s="307">
        <f>S378/13</f>
        <v>50.774999999999991</v>
      </c>
      <c r="U378" s="324"/>
      <c r="V378" s="324"/>
      <c r="W378" s="307">
        <f>N378+Q378+S378+U378</f>
        <v>1342.1524999999999</v>
      </c>
      <c r="X378" s="307">
        <f t="shared" si="304"/>
        <v>88.01</v>
      </c>
      <c r="Y378" s="307">
        <f>X378/13</f>
        <v>6.7700000000000005</v>
      </c>
      <c r="Z378" s="307">
        <f t="shared" si="305"/>
        <v>217.60714285714283</v>
      </c>
      <c r="AA378" s="307">
        <f>Z378*0.0775</f>
        <v>16.864553571428569</v>
      </c>
      <c r="AB378" s="307"/>
      <c r="AC378" s="307">
        <f>Z378*0.075</f>
        <v>16.320535714285711</v>
      </c>
      <c r="AD378" s="307"/>
      <c r="AE378" s="307">
        <f>AA378+AB378+AC378+AD378+0.01</f>
        <v>33.195089285714282</v>
      </c>
      <c r="AF378" s="307">
        <f>Z378*0.01</f>
        <v>2.1760714285714284</v>
      </c>
      <c r="AG378" s="325"/>
      <c r="AH378" s="325"/>
      <c r="AI378" s="325"/>
      <c r="AJ378" s="324"/>
    </row>
    <row r="379" spans="1:36" ht="19.5">
      <c r="A379" s="21">
        <f t="shared" si="293"/>
        <v>311</v>
      </c>
      <c r="B379" s="231" t="s">
        <v>536</v>
      </c>
      <c r="C379" s="364" t="s">
        <v>452</v>
      </c>
      <c r="D379" s="313" t="s">
        <v>79</v>
      </c>
      <c r="E379" s="314" t="s">
        <v>715</v>
      </c>
      <c r="F379" s="315">
        <f>467+30+50+50</f>
        <v>597</v>
      </c>
      <c r="G379" s="316">
        <f>F379*12</f>
        <v>7164</v>
      </c>
      <c r="H379" s="316">
        <v>60</v>
      </c>
      <c r="I379" s="323"/>
      <c r="J379" s="316">
        <f t="shared" si="289"/>
        <v>597</v>
      </c>
      <c r="K379" s="316">
        <v>300</v>
      </c>
      <c r="L379" s="324"/>
      <c r="M379" s="307">
        <v>125</v>
      </c>
      <c r="N379" s="307">
        <f t="shared" si="302"/>
        <v>601.47749999999996</v>
      </c>
      <c r="O379" s="307">
        <f>N379/13</f>
        <v>46.267499999999998</v>
      </c>
      <c r="P379" s="307"/>
      <c r="Q379" s="307"/>
      <c r="R379" s="307"/>
      <c r="S379" s="307">
        <f t="shared" si="303"/>
        <v>582.07499999999993</v>
      </c>
      <c r="T379" s="307">
        <f>S379/13</f>
        <v>44.774999999999991</v>
      </c>
      <c r="U379" s="307"/>
      <c r="V379" s="307"/>
      <c r="W379" s="307">
        <f t="shared" si="326"/>
        <v>1183.5524999999998</v>
      </c>
      <c r="X379" s="307">
        <f t="shared" si="304"/>
        <v>77.61</v>
      </c>
      <c r="Y379" s="307">
        <f>X379/13</f>
        <v>5.97</v>
      </c>
      <c r="Z379" s="307">
        <f t="shared" si="305"/>
        <v>191.89285714285714</v>
      </c>
      <c r="AA379" s="307">
        <f t="shared" si="290"/>
        <v>14.871696428571429</v>
      </c>
      <c r="AB379" s="307"/>
      <c r="AC379" s="307">
        <f t="shared" si="291"/>
        <v>14.391964285714284</v>
      </c>
      <c r="AD379" s="307"/>
      <c r="AE379" s="307">
        <f t="shared" ref="AE379:AE381" si="327">AA379+AB379+AC379+AD379+0.01</f>
        <v>29.273660714285715</v>
      </c>
      <c r="AF379" s="307">
        <f t="shared" si="292"/>
        <v>1.9189285714285713</v>
      </c>
      <c r="AG379" s="324"/>
      <c r="AH379" s="324"/>
      <c r="AI379" s="324"/>
      <c r="AJ379" s="324"/>
    </row>
    <row r="380" spans="1:36" ht="19.5">
      <c r="A380" s="21">
        <f t="shared" si="293"/>
        <v>312</v>
      </c>
      <c r="B380" s="231" t="s">
        <v>536</v>
      </c>
      <c r="C380" s="364" t="s">
        <v>452</v>
      </c>
      <c r="D380" s="313" t="s">
        <v>79</v>
      </c>
      <c r="E380" s="314" t="s">
        <v>715</v>
      </c>
      <c r="F380" s="315">
        <f>467+30+50+50</f>
        <v>597</v>
      </c>
      <c r="G380" s="316">
        <f>F380*12</f>
        <v>7164</v>
      </c>
      <c r="H380" s="316">
        <v>60</v>
      </c>
      <c r="I380" s="323"/>
      <c r="J380" s="316">
        <f t="shared" si="289"/>
        <v>597</v>
      </c>
      <c r="K380" s="316">
        <v>300</v>
      </c>
      <c r="L380" s="324"/>
      <c r="M380" s="307">
        <v>125</v>
      </c>
      <c r="N380" s="307">
        <f t="shared" si="302"/>
        <v>601.47749999999996</v>
      </c>
      <c r="O380" s="321"/>
      <c r="P380" s="307">
        <f t="shared" ref="P380:P384" si="328">N380/13</f>
        <v>46.267499999999998</v>
      </c>
      <c r="Q380" s="307"/>
      <c r="R380" s="307"/>
      <c r="S380" s="307">
        <f t="shared" si="303"/>
        <v>582.07499999999993</v>
      </c>
      <c r="T380" s="307">
        <f>S380/13</f>
        <v>44.774999999999991</v>
      </c>
      <c r="U380" s="307"/>
      <c r="V380" s="307"/>
      <c r="W380" s="307">
        <f t="shared" si="326"/>
        <v>1183.5524999999998</v>
      </c>
      <c r="X380" s="307">
        <f t="shared" si="304"/>
        <v>77.61</v>
      </c>
      <c r="Y380" s="307">
        <f>X380/13</f>
        <v>5.97</v>
      </c>
      <c r="Z380" s="307">
        <f t="shared" si="305"/>
        <v>191.89285714285714</v>
      </c>
      <c r="AA380" s="307">
        <f t="shared" si="290"/>
        <v>14.871696428571429</v>
      </c>
      <c r="AB380" s="307"/>
      <c r="AC380" s="307">
        <f t="shared" si="291"/>
        <v>14.391964285714284</v>
      </c>
      <c r="AD380" s="307"/>
      <c r="AE380" s="307">
        <f t="shared" si="327"/>
        <v>29.273660714285715</v>
      </c>
      <c r="AF380" s="307">
        <f t="shared" si="292"/>
        <v>1.9189285714285713</v>
      </c>
      <c r="AG380" s="324"/>
      <c r="AH380" s="324"/>
      <c r="AI380" s="324"/>
      <c r="AJ380" s="324"/>
    </row>
    <row r="381" spans="1:36" ht="19.5">
      <c r="A381" s="21">
        <f t="shared" si="293"/>
        <v>313</v>
      </c>
      <c r="B381" s="231" t="s">
        <v>536</v>
      </c>
      <c r="C381" s="364" t="s">
        <v>452</v>
      </c>
      <c r="D381" s="313" t="s">
        <v>79</v>
      </c>
      <c r="E381" s="314" t="s">
        <v>715</v>
      </c>
      <c r="F381" s="315">
        <f>467+30+50+50</f>
        <v>597</v>
      </c>
      <c r="G381" s="316">
        <f>F381*12</f>
        <v>7164</v>
      </c>
      <c r="H381" s="316">
        <v>60</v>
      </c>
      <c r="I381" s="323"/>
      <c r="J381" s="316">
        <f t="shared" si="289"/>
        <v>597</v>
      </c>
      <c r="K381" s="316">
        <v>300</v>
      </c>
      <c r="L381" s="324"/>
      <c r="M381" s="307">
        <v>125</v>
      </c>
      <c r="N381" s="307">
        <f t="shared" ref="N381:N391" si="329">F381*0.0775*13</f>
        <v>601.47749999999996</v>
      </c>
      <c r="O381" s="321"/>
      <c r="P381" s="307">
        <f t="shared" si="328"/>
        <v>46.267499999999998</v>
      </c>
      <c r="Q381" s="307"/>
      <c r="R381" s="307"/>
      <c r="S381" s="307">
        <f t="shared" ref="S381:S395" si="330">F381*0.075*13</f>
        <v>582.07499999999993</v>
      </c>
      <c r="T381" s="307">
        <f>S381/13</f>
        <v>44.774999999999991</v>
      </c>
      <c r="U381" s="307"/>
      <c r="V381" s="307"/>
      <c r="W381" s="307">
        <f t="shared" si="326"/>
        <v>1183.5524999999998</v>
      </c>
      <c r="X381" s="307">
        <f t="shared" ref="X381:X395" si="331">F381*0.01*13</f>
        <v>77.61</v>
      </c>
      <c r="Y381" s="307">
        <f>X381/13</f>
        <v>5.97</v>
      </c>
      <c r="Z381" s="307">
        <f t="shared" ref="Z381:Z395" si="332">F381/30/7*1.5*45</f>
        <v>191.89285714285714</v>
      </c>
      <c r="AA381" s="307">
        <f t="shared" si="290"/>
        <v>14.871696428571429</v>
      </c>
      <c r="AB381" s="307"/>
      <c r="AC381" s="307">
        <f t="shared" si="291"/>
        <v>14.391964285714284</v>
      </c>
      <c r="AD381" s="307"/>
      <c r="AE381" s="307">
        <f t="shared" si="327"/>
        <v>29.273660714285715</v>
      </c>
      <c r="AF381" s="307">
        <f t="shared" si="292"/>
        <v>1.9189285714285713</v>
      </c>
      <c r="AG381" s="325"/>
      <c r="AH381" s="325"/>
      <c r="AI381" s="324"/>
      <c r="AJ381" s="324"/>
    </row>
    <row r="382" spans="1:36" ht="19.5">
      <c r="A382" s="21">
        <f t="shared" si="293"/>
        <v>314</v>
      </c>
      <c r="B382" s="231" t="s">
        <v>542</v>
      </c>
      <c r="C382" s="364" t="s">
        <v>452</v>
      </c>
      <c r="D382" s="313" t="s">
        <v>79</v>
      </c>
      <c r="E382" s="314" t="s">
        <v>715</v>
      </c>
      <c r="F382" s="315">
        <f>417+50+50</f>
        <v>517</v>
      </c>
      <c r="G382" s="316">
        <f t="shared" ref="G382" si="333">F382*12</f>
        <v>6204</v>
      </c>
      <c r="H382" s="316">
        <v>60</v>
      </c>
      <c r="I382" s="323"/>
      <c r="J382" s="316">
        <f t="shared" si="289"/>
        <v>517</v>
      </c>
      <c r="K382" s="316">
        <v>300</v>
      </c>
      <c r="L382" s="324"/>
      <c r="M382" s="307">
        <v>125</v>
      </c>
      <c r="N382" s="307">
        <f t="shared" si="329"/>
        <v>520.87750000000005</v>
      </c>
      <c r="O382" s="307"/>
      <c r="P382" s="307">
        <f t="shared" si="328"/>
        <v>40.067500000000003</v>
      </c>
      <c r="Q382" s="307"/>
      <c r="R382" s="307"/>
      <c r="S382" s="307">
        <f t="shared" si="330"/>
        <v>504.07499999999999</v>
      </c>
      <c r="T382" s="307">
        <f t="shared" ref="T382" si="334">S382/13</f>
        <v>38.774999999999999</v>
      </c>
      <c r="U382" s="307"/>
      <c r="V382" s="307"/>
      <c r="W382" s="307">
        <f t="shared" si="326"/>
        <v>1024.9525000000001</v>
      </c>
      <c r="X382" s="307">
        <f t="shared" si="331"/>
        <v>67.209999999999994</v>
      </c>
      <c r="Y382" s="307">
        <f t="shared" si="295"/>
        <v>5.17</v>
      </c>
      <c r="Z382" s="307">
        <f t="shared" si="332"/>
        <v>166.17857142857144</v>
      </c>
      <c r="AA382" s="307">
        <f t="shared" si="290"/>
        <v>12.878839285714287</v>
      </c>
      <c r="AB382" s="307"/>
      <c r="AC382" s="307">
        <f t="shared" si="291"/>
        <v>12.463392857142859</v>
      </c>
      <c r="AD382" s="307"/>
      <c r="AE382" s="307">
        <f t="shared" ref="AE382:AE385" si="335">AA382+AB382+AC382+AD382</f>
        <v>25.342232142857146</v>
      </c>
      <c r="AF382" s="307">
        <f t="shared" si="292"/>
        <v>1.6617857142857144</v>
      </c>
      <c r="AG382" s="324"/>
      <c r="AH382" s="324"/>
      <c r="AI382" s="324"/>
      <c r="AJ382" s="324"/>
    </row>
    <row r="383" spans="1:36" ht="19.5">
      <c r="A383" s="21">
        <f t="shared" si="293"/>
        <v>315</v>
      </c>
      <c r="B383" s="231" t="s">
        <v>542</v>
      </c>
      <c r="C383" s="364" t="s">
        <v>452</v>
      </c>
      <c r="D383" s="313" t="s">
        <v>79</v>
      </c>
      <c r="E383" s="314" t="s">
        <v>715</v>
      </c>
      <c r="F383" s="315">
        <f>417+50+50</f>
        <v>517</v>
      </c>
      <c r="G383" s="316">
        <f>F383*12</f>
        <v>6204</v>
      </c>
      <c r="H383" s="316">
        <v>60</v>
      </c>
      <c r="I383" s="323"/>
      <c r="J383" s="316">
        <f t="shared" si="289"/>
        <v>517</v>
      </c>
      <c r="K383" s="316">
        <v>300</v>
      </c>
      <c r="L383" s="324"/>
      <c r="M383" s="307">
        <v>125</v>
      </c>
      <c r="N383" s="307">
        <f t="shared" si="329"/>
        <v>520.87750000000005</v>
      </c>
      <c r="O383" s="321"/>
      <c r="P383" s="307">
        <f t="shared" si="328"/>
        <v>40.067500000000003</v>
      </c>
      <c r="Q383" s="307"/>
      <c r="R383" s="307"/>
      <c r="S383" s="307">
        <f t="shared" si="330"/>
        <v>504.07499999999999</v>
      </c>
      <c r="T383" s="307">
        <f>S383/13</f>
        <v>38.774999999999999</v>
      </c>
      <c r="U383" s="307"/>
      <c r="V383" s="307"/>
      <c r="W383" s="307">
        <f t="shared" si="326"/>
        <v>1024.9525000000001</v>
      </c>
      <c r="X383" s="307">
        <f t="shared" si="331"/>
        <v>67.209999999999994</v>
      </c>
      <c r="Y383" s="307">
        <f>X383/13</f>
        <v>5.17</v>
      </c>
      <c r="Z383" s="307">
        <f t="shared" si="332"/>
        <v>166.17857142857144</v>
      </c>
      <c r="AA383" s="307">
        <f t="shared" si="290"/>
        <v>12.878839285714287</v>
      </c>
      <c r="AB383" s="307"/>
      <c r="AC383" s="307">
        <f t="shared" si="291"/>
        <v>12.463392857142859</v>
      </c>
      <c r="AD383" s="307"/>
      <c r="AE383" s="307">
        <f>AA383+AB383+AC383+AD383</f>
        <v>25.342232142857146</v>
      </c>
      <c r="AF383" s="307">
        <f t="shared" si="292"/>
        <v>1.6617857142857144</v>
      </c>
      <c r="AG383" s="324"/>
      <c r="AH383" s="324"/>
      <c r="AI383" s="324"/>
      <c r="AJ383" s="324"/>
    </row>
    <row r="384" spans="1:36" ht="19.5">
      <c r="A384" s="21">
        <f t="shared" si="293"/>
        <v>316</v>
      </c>
      <c r="B384" s="231" t="s">
        <v>542</v>
      </c>
      <c r="C384" s="364" t="s">
        <v>452</v>
      </c>
      <c r="D384" s="313" t="s">
        <v>79</v>
      </c>
      <c r="E384" s="314" t="s">
        <v>715</v>
      </c>
      <c r="F384" s="315">
        <f>417+50+50</f>
        <v>517</v>
      </c>
      <c r="G384" s="316">
        <f>F384*12</f>
        <v>6204</v>
      </c>
      <c r="H384" s="316">
        <v>60</v>
      </c>
      <c r="I384" s="323"/>
      <c r="J384" s="316">
        <f t="shared" si="289"/>
        <v>517</v>
      </c>
      <c r="K384" s="316">
        <v>300</v>
      </c>
      <c r="L384" s="324"/>
      <c r="M384" s="307">
        <v>125</v>
      </c>
      <c r="N384" s="307">
        <f t="shared" si="329"/>
        <v>520.87750000000005</v>
      </c>
      <c r="O384" s="307"/>
      <c r="P384" s="307">
        <f t="shared" si="328"/>
        <v>40.067500000000003</v>
      </c>
      <c r="Q384" s="307"/>
      <c r="R384" s="307"/>
      <c r="S384" s="307">
        <f t="shared" si="330"/>
        <v>504.07499999999999</v>
      </c>
      <c r="T384" s="307">
        <f>S384/13</f>
        <v>38.774999999999999</v>
      </c>
      <c r="U384" s="307"/>
      <c r="V384" s="307"/>
      <c r="W384" s="307">
        <f t="shared" si="326"/>
        <v>1024.9525000000001</v>
      </c>
      <c r="X384" s="307">
        <f t="shared" si="331"/>
        <v>67.209999999999994</v>
      </c>
      <c r="Y384" s="307">
        <f>X384/13</f>
        <v>5.17</v>
      </c>
      <c r="Z384" s="307">
        <f t="shared" si="332"/>
        <v>166.17857142857144</v>
      </c>
      <c r="AA384" s="307">
        <f t="shared" si="290"/>
        <v>12.878839285714287</v>
      </c>
      <c r="AB384" s="307"/>
      <c r="AC384" s="307">
        <f t="shared" si="291"/>
        <v>12.463392857142859</v>
      </c>
      <c r="AD384" s="307"/>
      <c r="AE384" s="307">
        <f t="shared" si="335"/>
        <v>25.342232142857146</v>
      </c>
      <c r="AF384" s="307">
        <f t="shared" si="292"/>
        <v>1.6617857142857144</v>
      </c>
      <c r="AG384" s="324"/>
      <c r="AH384" s="324"/>
      <c r="AI384" s="324"/>
      <c r="AJ384" s="324"/>
    </row>
    <row r="385" spans="1:36" ht="19.5">
      <c r="A385" s="21">
        <f t="shared" si="293"/>
        <v>317</v>
      </c>
      <c r="B385" s="376" t="s">
        <v>547</v>
      </c>
      <c r="C385" s="364" t="s">
        <v>452</v>
      </c>
      <c r="D385" s="313" t="s">
        <v>759</v>
      </c>
      <c r="E385" s="314" t="s">
        <v>715</v>
      </c>
      <c r="F385" s="315">
        <f>417</f>
        <v>417</v>
      </c>
      <c r="G385" s="316">
        <f t="shared" ref="G385:G387" si="336">F385*12</f>
        <v>5004</v>
      </c>
      <c r="H385" s="316">
        <v>60</v>
      </c>
      <c r="I385" s="323"/>
      <c r="J385" s="316">
        <f t="shared" ref="J385:J387" si="337">F385</f>
        <v>417</v>
      </c>
      <c r="K385" s="316">
        <v>300</v>
      </c>
      <c r="L385" s="324"/>
      <c r="M385" s="307"/>
      <c r="N385" s="307">
        <f t="shared" si="329"/>
        <v>420.12750000000005</v>
      </c>
      <c r="O385" s="307">
        <f t="shared" ref="O385" si="338">N385/13</f>
        <v>32.317500000000003</v>
      </c>
      <c r="P385" s="307"/>
      <c r="Q385" s="307"/>
      <c r="R385" s="307"/>
      <c r="S385" s="307">
        <f t="shared" si="330"/>
        <v>406.57499999999999</v>
      </c>
      <c r="T385" s="307">
        <f t="shared" ref="T385" si="339">S385/13</f>
        <v>31.274999999999999</v>
      </c>
      <c r="U385" s="307"/>
      <c r="V385" s="307"/>
      <c r="W385" s="307">
        <f t="shared" ref="W385:W387" si="340">N385+Q385+S385+U385+0.01</f>
        <v>826.71250000000009</v>
      </c>
      <c r="X385" s="307">
        <f t="shared" si="331"/>
        <v>54.21</v>
      </c>
      <c r="Y385" s="307">
        <f t="shared" ref="Y385" si="341">X385/13</f>
        <v>4.17</v>
      </c>
      <c r="Z385" s="307">
        <f t="shared" si="332"/>
        <v>134.03571428571428</v>
      </c>
      <c r="AA385" s="307">
        <f t="shared" ref="AA385:AA387" si="342">Z385*0.0775</f>
        <v>10.387767857142856</v>
      </c>
      <c r="AB385" s="307"/>
      <c r="AC385" s="307">
        <f t="shared" ref="AC385:AC387" si="343">Z385*0.075</f>
        <v>10.05267857142857</v>
      </c>
      <c r="AD385" s="307"/>
      <c r="AE385" s="307">
        <f t="shared" si="335"/>
        <v>20.440446428571427</v>
      </c>
      <c r="AF385" s="307">
        <f t="shared" ref="AF385:AF387" si="344">Z385*0.01</f>
        <v>1.3403571428571428</v>
      </c>
      <c r="AG385" s="324"/>
      <c r="AH385" s="324"/>
      <c r="AI385" s="324"/>
      <c r="AJ385" s="324"/>
    </row>
    <row r="386" spans="1:36" ht="19.5">
      <c r="A386" s="21">
        <f>A385+1</f>
        <v>318</v>
      </c>
      <c r="B386" s="376" t="s">
        <v>547</v>
      </c>
      <c r="C386" s="364" t="s">
        <v>452</v>
      </c>
      <c r="D386" s="313" t="s">
        <v>759</v>
      </c>
      <c r="E386" s="314" t="s">
        <v>715</v>
      </c>
      <c r="F386" s="315">
        <f>417</f>
        <v>417</v>
      </c>
      <c r="G386" s="316">
        <f t="shared" si="336"/>
        <v>5004</v>
      </c>
      <c r="H386" s="316">
        <v>60</v>
      </c>
      <c r="I386" s="323"/>
      <c r="J386" s="316">
        <f t="shared" si="337"/>
        <v>417</v>
      </c>
      <c r="K386" s="316">
        <v>300</v>
      </c>
      <c r="L386" s="324"/>
      <c r="M386" s="307"/>
      <c r="N386" s="307">
        <f t="shared" si="329"/>
        <v>420.12750000000005</v>
      </c>
      <c r="O386" s="307">
        <f>N386/13</f>
        <v>32.317500000000003</v>
      </c>
      <c r="P386" s="307"/>
      <c r="Q386" s="307"/>
      <c r="R386" s="307"/>
      <c r="S386" s="307">
        <f t="shared" si="330"/>
        <v>406.57499999999999</v>
      </c>
      <c r="T386" s="307">
        <f>S386/13</f>
        <v>31.274999999999999</v>
      </c>
      <c r="U386" s="307"/>
      <c r="V386" s="307"/>
      <c r="W386" s="307">
        <f t="shared" si="340"/>
        <v>826.71250000000009</v>
      </c>
      <c r="X386" s="307">
        <f t="shared" si="331"/>
        <v>54.21</v>
      </c>
      <c r="Y386" s="307">
        <f>X386/13</f>
        <v>4.17</v>
      </c>
      <c r="Z386" s="307">
        <f t="shared" si="332"/>
        <v>134.03571428571428</v>
      </c>
      <c r="AA386" s="307">
        <f t="shared" si="342"/>
        <v>10.387767857142856</v>
      </c>
      <c r="AB386" s="307"/>
      <c r="AC386" s="307">
        <f t="shared" si="343"/>
        <v>10.05267857142857</v>
      </c>
      <c r="AD386" s="307"/>
      <c r="AE386" s="307">
        <f>AA386+AB386+AC386+AD386</f>
        <v>20.440446428571427</v>
      </c>
      <c r="AF386" s="307">
        <f t="shared" si="344"/>
        <v>1.3403571428571428</v>
      </c>
      <c r="AG386" s="324"/>
      <c r="AH386" s="324"/>
      <c r="AI386" s="324"/>
      <c r="AJ386" s="324"/>
    </row>
    <row r="387" spans="1:36" ht="19.5">
      <c r="A387" s="21">
        <f t="shared" si="293"/>
        <v>319</v>
      </c>
      <c r="B387" s="376" t="s">
        <v>547</v>
      </c>
      <c r="C387" s="364" t="s">
        <v>452</v>
      </c>
      <c r="D387" s="313" t="s">
        <v>759</v>
      </c>
      <c r="E387" s="314" t="s">
        <v>715</v>
      </c>
      <c r="F387" s="315">
        <f>417</f>
        <v>417</v>
      </c>
      <c r="G387" s="316">
        <f t="shared" si="336"/>
        <v>5004</v>
      </c>
      <c r="H387" s="316">
        <v>60</v>
      </c>
      <c r="I387" s="323"/>
      <c r="J387" s="316">
        <f t="shared" si="337"/>
        <v>417</v>
      </c>
      <c r="K387" s="316">
        <v>300</v>
      </c>
      <c r="L387" s="324"/>
      <c r="M387" s="307"/>
      <c r="N387" s="307">
        <f t="shared" si="329"/>
        <v>420.12750000000005</v>
      </c>
      <c r="O387" s="307">
        <f t="shared" ref="O387" si="345">N387/13</f>
        <v>32.317500000000003</v>
      </c>
      <c r="P387" s="307"/>
      <c r="Q387" s="307"/>
      <c r="R387" s="307"/>
      <c r="S387" s="307">
        <f t="shared" si="330"/>
        <v>406.57499999999999</v>
      </c>
      <c r="T387" s="307">
        <f t="shared" ref="T387" si="346">S387/13</f>
        <v>31.274999999999999</v>
      </c>
      <c r="U387" s="307"/>
      <c r="V387" s="307"/>
      <c r="W387" s="307">
        <f t="shared" si="340"/>
        <v>826.71250000000009</v>
      </c>
      <c r="X387" s="307">
        <f t="shared" si="331"/>
        <v>54.21</v>
      </c>
      <c r="Y387" s="307">
        <f t="shared" ref="Y387" si="347">X387/13</f>
        <v>4.17</v>
      </c>
      <c r="Z387" s="307">
        <f t="shared" si="332"/>
        <v>134.03571428571428</v>
      </c>
      <c r="AA387" s="307">
        <f t="shared" si="342"/>
        <v>10.387767857142856</v>
      </c>
      <c r="AB387" s="307"/>
      <c r="AC387" s="307">
        <f t="shared" si="343"/>
        <v>10.05267857142857</v>
      </c>
      <c r="AD387" s="307"/>
      <c r="AE387" s="307">
        <f t="shared" ref="AE387" si="348">AA387+AB387+AC387+AD387</f>
        <v>20.440446428571427</v>
      </c>
      <c r="AF387" s="307">
        <f t="shared" si="344"/>
        <v>1.3403571428571428</v>
      </c>
      <c r="AG387" s="324"/>
      <c r="AH387" s="324"/>
      <c r="AI387" s="324"/>
      <c r="AJ387" s="324"/>
    </row>
    <row r="388" spans="1:36" ht="19.5">
      <c r="A388" s="21">
        <f>A387+1</f>
        <v>320</v>
      </c>
      <c r="B388" s="376" t="s">
        <v>547</v>
      </c>
      <c r="C388" s="364" t="s">
        <v>452</v>
      </c>
      <c r="D388" s="313" t="s">
        <v>759</v>
      </c>
      <c r="E388" s="314" t="s">
        <v>715</v>
      </c>
      <c r="F388" s="315">
        <f>417</f>
        <v>417</v>
      </c>
      <c r="G388" s="316">
        <f>F388*12</f>
        <v>5004</v>
      </c>
      <c r="H388" s="316">
        <v>60</v>
      </c>
      <c r="I388" s="323"/>
      <c r="J388" s="316">
        <f t="shared" si="289"/>
        <v>417</v>
      </c>
      <c r="K388" s="316">
        <v>300</v>
      </c>
      <c r="L388" s="324"/>
      <c r="M388" s="307"/>
      <c r="N388" s="307">
        <f t="shared" si="329"/>
        <v>420.12750000000005</v>
      </c>
      <c r="O388" s="307">
        <f>N388/13</f>
        <v>32.317500000000003</v>
      </c>
      <c r="P388" s="307"/>
      <c r="Q388" s="307"/>
      <c r="R388" s="307"/>
      <c r="S388" s="307">
        <f t="shared" si="330"/>
        <v>406.57499999999999</v>
      </c>
      <c r="T388" s="307">
        <f>S388/13</f>
        <v>31.274999999999999</v>
      </c>
      <c r="U388" s="307"/>
      <c r="V388" s="307"/>
      <c r="W388" s="307">
        <f>N388+Q388+S388+U388+0.01</f>
        <v>826.71250000000009</v>
      </c>
      <c r="X388" s="307">
        <f t="shared" si="331"/>
        <v>54.21</v>
      </c>
      <c r="Y388" s="307">
        <f>X388/13</f>
        <v>4.17</v>
      </c>
      <c r="Z388" s="307">
        <f t="shared" si="332"/>
        <v>134.03571428571428</v>
      </c>
      <c r="AA388" s="307">
        <f t="shared" si="290"/>
        <v>10.387767857142856</v>
      </c>
      <c r="AB388" s="307"/>
      <c r="AC388" s="307">
        <f t="shared" si="291"/>
        <v>10.05267857142857</v>
      </c>
      <c r="AD388" s="307"/>
      <c r="AE388" s="307">
        <f>AA388+AB388+AC388+AD388</f>
        <v>20.440446428571427</v>
      </c>
      <c r="AF388" s="307">
        <f t="shared" si="292"/>
        <v>1.3403571428571428</v>
      </c>
      <c r="AG388" s="324"/>
      <c r="AH388" s="324"/>
      <c r="AI388" s="324"/>
      <c r="AJ388" s="324"/>
    </row>
    <row r="389" spans="1:36" ht="19.5">
      <c r="A389" s="21">
        <f t="shared" si="293"/>
        <v>321</v>
      </c>
      <c r="B389" s="376" t="s">
        <v>547</v>
      </c>
      <c r="C389" s="364" t="s">
        <v>452</v>
      </c>
      <c r="D389" s="313" t="s">
        <v>759</v>
      </c>
      <c r="E389" s="314" t="s">
        <v>715</v>
      </c>
      <c r="F389" s="315">
        <f>417</f>
        <v>417</v>
      </c>
      <c r="G389" s="316">
        <f>F389*12</f>
        <v>5004</v>
      </c>
      <c r="H389" s="316">
        <v>60</v>
      </c>
      <c r="I389" s="323"/>
      <c r="J389" s="316">
        <f>F389</f>
        <v>417</v>
      </c>
      <c r="K389" s="316">
        <v>300</v>
      </c>
      <c r="L389" s="324"/>
      <c r="M389" s="307"/>
      <c r="N389" s="307">
        <f t="shared" si="329"/>
        <v>420.12750000000005</v>
      </c>
      <c r="O389" s="307">
        <f>N389/13</f>
        <v>32.317500000000003</v>
      </c>
      <c r="P389" s="307"/>
      <c r="Q389" s="307"/>
      <c r="R389" s="307"/>
      <c r="S389" s="307">
        <f t="shared" si="330"/>
        <v>406.57499999999999</v>
      </c>
      <c r="T389" s="307">
        <f>S389/13</f>
        <v>31.274999999999999</v>
      </c>
      <c r="U389" s="307"/>
      <c r="V389" s="307"/>
      <c r="W389" s="307">
        <f>N389+Q389+S389+U389+0.01</f>
        <v>826.71250000000009</v>
      </c>
      <c r="X389" s="307">
        <f t="shared" si="331"/>
        <v>54.21</v>
      </c>
      <c r="Y389" s="307">
        <f>X389/13</f>
        <v>4.17</v>
      </c>
      <c r="Z389" s="307">
        <f t="shared" si="332"/>
        <v>134.03571428571428</v>
      </c>
      <c r="AA389" s="307">
        <f>Z389*0.0775</f>
        <v>10.387767857142856</v>
      </c>
      <c r="AB389" s="307"/>
      <c r="AC389" s="307">
        <f>Z389*0.075</f>
        <v>10.05267857142857</v>
      </c>
      <c r="AD389" s="307"/>
      <c r="AE389" s="307">
        <f>AA389+AB389+AC389+AD389</f>
        <v>20.440446428571427</v>
      </c>
      <c r="AF389" s="307">
        <f>Z389*0.01</f>
        <v>1.3403571428571428</v>
      </c>
      <c r="AG389" s="324"/>
      <c r="AH389" s="324"/>
      <c r="AI389" s="324"/>
      <c r="AJ389" s="324"/>
    </row>
    <row r="390" spans="1:36" ht="19.5">
      <c r="A390" s="21">
        <f>A389+1</f>
        <v>322</v>
      </c>
      <c r="B390" s="231" t="s">
        <v>542</v>
      </c>
      <c r="C390" s="364" t="s">
        <v>452</v>
      </c>
      <c r="D390" s="313" t="s">
        <v>79</v>
      </c>
      <c r="E390" s="314" t="s">
        <v>715</v>
      </c>
      <c r="F390" s="315">
        <f>497+50</f>
        <v>547</v>
      </c>
      <c r="G390" s="316">
        <f t="shared" ref="G390:G395" si="349">F390*12</f>
        <v>6564</v>
      </c>
      <c r="H390" s="316">
        <v>60</v>
      </c>
      <c r="I390" s="323"/>
      <c r="J390" s="316">
        <f t="shared" si="289"/>
        <v>547</v>
      </c>
      <c r="K390" s="316">
        <v>300</v>
      </c>
      <c r="L390" s="324"/>
      <c r="M390" s="307">
        <v>125</v>
      </c>
      <c r="N390" s="307">
        <f t="shared" si="329"/>
        <v>551.10249999999996</v>
      </c>
      <c r="O390" s="307">
        <f>N390/13</f>
        <v>42.392499999999998</v>
      </c>
      <c r="P390" s="186"/>
      <c r="Q390" s="307"/>
      <c r="R390" s="307"/>
      <c r="S390" s="307">
        <f t="shared" si="330"/>
        <v>533.32499999999993</v>
      </c>
      <c r="T390" s="307">
        <f t="shared" ref="T390" si="350">S390/13</f>
        <v>41.024999999999991</v>
      </c>
      <c r="U390" s="307"/>
      <c r="V390" s="307"/>
      <c r="W390" s="307">
        <f>N390+Q390+S390+U390+0.01</f>
        <v>1084.4374999999998</v>
      </c>
      <c r="X390" s="307">
        <f t="shared" si="331"/>
        <v>71.11</v>
      </c>
      <c r="Y390" s="307">
        <f t="shared" ref="Y390" si="351">X390/13</f>
        <v>5.47</v>
      </c>
      <c r="Z390" s="307">
        <f t="shared" si="332"/>
        <v>175.82142857142858</v>
      </c>
      <c r="AA390" s="307">
        <f t="shared" si="290"/>
        <v>13.626160714285716</v>
      </c>
      <c r="AB390" s="307"/>
      <c r="AC390" s="307">
        <f t="shared" si="291"/>
        <v>13.186607142857143</v>
      </c>
      <c r="AD390" s="307"/>
      <c r="AE390" s="307">
        <f>AA390+AB390+AC390+AD390</f>
        <v>26.812767857142859</v>
      </c>
      <c r="AF390" s="307">
        <f t="shared" si="292"/>
        <v>1.758214285714286</v>
      </c>
      <c r="AG390" s="324"/>
      <c r="AH390" s="324"/>
      <c r="AI390" s="324"/>
      <c r="AJ390" s="324"/>
    </row>
    <row r="391" spans="1:36" ht="19.5">
      <c r="A391" s="21">
        <f t="shared" si="293"/>
        <v>323</v>
      </c>
      <c r="B391" s="339" t="s">
        <v>547</v>
      </c>
      <c r="C391" s="364" t="s">
        <v>452</v>
      </c>
      <c r="D391" s="313" t="s">
        <v>762</v>
      </c>
      <c r="E391" s="314" t="s">
        <v>715</v>
      </c>
      <c r="F391" s="315">
        <v>417</v>
      </c>
      <c r="G391" s="316">
        <f t="shared" si="349"/>
        <v>5004</v>
      </c>
      <c r="H391" s="316">
        <v>60</v>
      </c>
      <c r="I391" s="323"/>
      <c r="J391" s="316">
        <f>F391</f>
        <v>417</v>
      </c>
      <c r="K391" s="316">
        <v>300</v>
      </c>
      <c r="L391" s="324"/>
      <c r="M391" s="307"/>
      <c r="N391" s="307">
        <f t="shared" si="329"/>
        <v>420.12750000000005</v>
      </c>
      <c r="O391" s="307">
        <f>N391/13</f>
        <v>32.317500000000003</v>
      </c>
      <c r="P391" s="307"/>
      <c r="Q391" s="307"/>
      <c r="R391" s="307"/>
      <c r="S391" s="307">
        <f t="shared" si="330"/>
        <v>406.57499999999999</v>
      </c>
      <c r="T391" s="307">
        <f>S391/13</f>
        <v>31.274999999999999</v>
      </c>
      <c r="U391" s="307"/>
      <c r="V391" s="307"/>
      <c r="W391" s="307">
        <f>N391+Q391+S391+U391+0.01</f>
        <v>826.71250000000009</v>
      </c>
      <c r="X391" s="307">
        <f t="shared" si="331"/>
        <v>54.21</v>
      </c>
      <c r="Y391" s="307">
        <f>X391/13</f>
        <v>4.17</v>
      </c>
      <c r="Z391" s="307">
        <f t="shared" si="332"/>
        <v>134.03571428571428</v>
      </c>
      <c r="AA391" s="307">
        <f>Z391*0.0775</f>
        <v>10.387767857142856</v>
      </c>
      <c r="AB391" s="307"/>
      <c r="AC391" s="307">
        <f>Z391*0.075</f>
        <v>10.05267857142857</v>
      </c>
      <c r="AD391" s="307"/>
      <c r="AE391" s="307">
        <f>AA391+AB391+AC391+AD391</f>
        <v>20.440446428571427</v>
      </c>
      <c r="AF391" s="307">
        <f>Z391*0.01</f>
        <v>1.3403571428571428</v>
      </c>
      <c r="AG391" s="325"/>
      <c r="AH391" s="325"/>
      <c r="AI391" s="325"/>
      <c r="AJ391" s="324"/>
    </row>
    <row r="392" spans="1:36" ht="19.5">
      <c r="A392" s="21">
        <f t="shared" si="293"/>
        <v>324</v>
      </c>
      <c r="B392" s="163" t="s">
        <v>536</v>
      </c>
      <c r="C392" s="364" t="s">
        <v>452</v>
      </c>
      <c r="D392" s="313" t="s">
        <v>79</v>
      </c>
      <c r="E392" s="314" t="s">
        <v>715</v>
      </c>
      <c r="F392" s="315">
        <f>467+30+50+50</f>
        <v>597</v>
      </c>
      <c r="G392" s="316">
        <f t="shared" si="349"/>
        <v>7164</v>
      </c>
      <c r="H392" s="316">
        <v>60</v>
      </c>
      <c r="I392" s="323"/>
      <c r="J392" s="316">
        <f>F392</f>
        <v>597</v>
      </c>
      <c r="K392" s="316">
        <v>300</v>
      </c>
      <c r="L392" s="324"/>
      <c r="M392" s="307">
        <v>125</v>
      </c>
      <c r="N392" s="307"/>
      <c r="O392" s="307"/>
      <c r="P392" s="307"/>
      <c r="Q392" s="307"/>
      <c r="R392" s="307"/>
      <c r="S392" s="307">
        <f t="shared" si="330"/>
        <v>582.07499999999993</v>
      </c>
      <c r="T392" s="307">
        <f>S392/13</f>
        <v>44.774999999999991</v>
      </c>
      <c r="U392" s="307">
        <f>F392*0.06*13</f>
        <v>465.66</v>
      </c>
      <c r="V392" s="307">
        <f>U392/12</f>
        <v>38.805</v>
      </c>
      <c r="W392" s="307">
        <f>N392+Q392+S392+U392</f>
        <v>1047.7349999999999</v>
      </c>
      <c r="X392" s="307">
        <f t="shared" si="331"/>
        <v>77.61</v>
      </c>
      <c r="Y392" s="307">
        <f>X392/13</f>
        <v>5.97</v>
      </c>
      <c r="Z392" s="307">
        <f t="shared" si="332"/>
        <v>191.89285714285714</v>
      </c>
      <c r="AA392" s="307"/>
      <c r="AB392" s="307"/>
      <c r="AC392" s="307">
        <f>Z392*0.075</f>
        <v>14.391964285714284</v>
      </c>
      <c r="AD392" s="307">
        <f>Z392*0.06</f>
        <v>11.513571428571428</v>
      </c>
      <c r="AE392" s="307">
        <f>AA392+AB392+AC392+AD392</f>
        <v>25.905535714285712</v>
      </c>
      <c r="AF392" s="307">
        <f>Z392*0.01</f>
        <v>1.9189285714285713</v>
      </c>
      <c r="AG392" s="324"/>
      <c r="AH392" s="324"/>
      <c r="AI392" s="324"/>
      <c r="AJ392" s="324"/>
    </row>
    <row r="393" spans="1:36" ht="19.5">
      <c r="A393" s="21">
        <f t="shared" si="293"/>
        <v>325</v>
      </c>
      <c r="B393" s="163" t="s">
        <v>536</v>
      </c>
      <c r="C393" s="364" t="s">
        <v>452</v>
      </c>
      <c r="D393" s="313" t="s">
        <v>79</v>
      </c>
      <c r="E393" s="314" t="s">
        <v>715</v>
      </c>
      <c r="F393" s="315">
        <f>467+30+50+50</f>
        <v>597</v>
      </c>
      <c r="G393" s="316">
        <f t="shared" si="349"/>
        <v>7164</v>
      </c>
      <c r="H393" s="316">
        <v>60</v>
      </c>
      <c r="I393" s="323"/>
      <c r="J393" s="316">
        <f>F393</f>
        <v>597</v>
      </c>
      <c r="K393" s="316">
        <v>300</v>
      </c>
      <c r="L393" s="324"/>
      <c r="M393" s="307">
        <v>125</v>
      </c>
      <c r="N393" s="307">
        <f>F393*0.0775*13</f>
        <v>601.47749999999996</v>
      </c>
      <c r="O393" s="307"/>
      <c r="P393" s="307">
        <f>N393/13</f>
        <v>46.267499999999998</v>
      </c>
      <c r="Q393" s="307"/>
      <c r="R393" s="307"/>
      <c r="S393" s="307">
        <f t="shared" si="330"/>
        <v>582.07499999999993</v>
      </c>
      <c r="T393" s="307">
        <f>S393/13</f>
        <v>44.774999999999991</v>
      </c>
      <c r="U393" s="307"/>
      <c r="V393" s="307"/>
      <c r="W393" s="307">
        <f>N393+Q393+S393+U393</f>
        <v>1183.5524999999998</v>
      </c>
      <c r="X393" s="307">
        <f t="shared" si="331"/>
        <v>77.61</v>
      </c>
      <c r="Y393" s="307">
        <f>X393/13</f>
        <v>5.97</v>
      </c>
      <c r="Z393" s="307">
        <f t="shared" si="332"/>
        <v>191.89285714285714</v>
      </c>
      <c r="AA393" s="307">
        <f>Z393*0.0775</f>
        <v>14.871696428571429</v>
      </c>
      <c r="AB393" s="307"/>
      <c r="AC393" s="307">
        <f>Z393*0.075</f>
        <v>14.391964285714284</v>
      </c>
      <c r="AD393" s="307"/>
      <c r="AE393" s="307">
        <f>AA393+AB393+AC393+AD393+0.01</f>
        <v>29.273660714285715</v>
      </c>
      <c r="AF393" s="307">
        <f>Z393*0.01</f>
        <v>1.9189285714285713</v>
      </c>
      <c r="AG393" s="324"/>
      <c r="AH393" s="324"/>
      <c r="AI393" s="324"/>
      <c r="AJ393" s="324"/>
    </row>
    <row r="394" spans="1:36" ht="18">
      <c r="A394" s="21">
        <f t="shared" si="293"/>
        <v>326</v>
      </c>
      <c r="B394" s="376" t="s">
        <v>549</v>
      </c>
      <c r="C394" s="364" t="s">
        <v>452</v>
      </c>
      <c r="D394" s="313" t="s">
        <v>759</v>
      </c>
      <c r="E394" s="314" t="s">
        <v>715</v>
      </c>
      <c r="F394" s="315">
        <f>417</f>
        <v>417</v>
      </c>
      <c r="G394" s="316">
        <f t="shared" si="349"/>
        <v>5004</v>
      </c>
      <c r="H394" s="316">
        <v>60</v>
      </c>
      <c r="I394" s="323"/>
      <c r="J394" s="316">
        <f>F394</f>
        <v>417</v>
      </c>
      <c r="K394" s="316">
        <v>300</v>
      </c>
      <c r="L394" s="324"/>
      <c r="M394" s="307"/>
      <c r="N394" s="307">
        <f>F394*0.0775*13</f>
        <v>420.12750000000005</v>
      </c>
      <c r="O394" s="307">
        <f>N394/13</f>
        <v>32.317500000000003</v>
      </c>
      <c r="P394" s="307"/>
      <c r="Q394" s="307"/>
      <c r="R394" s="307"/>
      <c r="S394" s="307">
        <f t="shared" si="330"/>
        <v>406.57499999999999</v>
      </c>
      <c r="T394" s="307">
        <f>S394/13</f>
        <v>31.274999999999999</v>
      </c>
      <c r="U394" s="307"/>
      <c r="V394" s="307"/>
      <c r="W394" s="307">
        <f t="shared" ref="W394" si="352">N394+Q394+S394+U394+0.01</f>
        <v>826.71250000000009</v>
      </c>
      <c r="X394" s="307">
        <f t="shared" si="331"/>
        <v>54.21</v>
      </c>
      <c r="Y394" s="307">
        <f>X394/13</f>
        <v>4.17</v>
      </c>
      <c r="Z394" s="307">
        <f t="shared" si="332"/>
        <v>134.03571428571428</v>
      </c>
      <c r="AA394" s="307">
        <f>Z394*0.0775</f>
        <v>10.387767857142856</v>
      </c>
      <c r="AB394" s="307"/>
      <c r="AC394" s="307">
        <f>Z394*0.075</f>
        <v>10.05267857142857</v>
      </c>
      <c r="AD394" s="307"/>
      <c r="AE394" s="307">
        <f>AA394+AB394+AC394+AD394</f>
        <v>20.440446428571427</v>
      </c>
      <c r="AF394" s="307">
        <f>Z394*0.01</f>
        <v>1.3403571428571428</v>
      </c>
      <c r="AG394" s="324"/>
      <c r="AH394" s="324"/>
      <c r="AI394" s="324"/>
      <c r="AJ394" s="324"/>
    </row>
    <row r="395" spans="1:36" ht="19.5">
      <c r="A395" s="21">
        <f t="shared" si="293"/>
        <v>327</v>
      </c>
      <c r="B395" s="231" t="s">
        <v>742</v>
      </c>
      <c r="C395" s="364" t="s">
        <v>452</v>
      </c>
      <c r="D395" s="313" t="s">
        <v>79</v>
      </c>
      <c r="E395" s="314" t="s">
        <v>715</v>
      </c>
      <c r="F395" s="315">
        <f>547+30+50+50</f>
        <v>677</v>
      </c>
      <c r="G395" s="316">
        <f t="shared" si="349"/>
        <v>8124</v>
      </c>
      <c r="H395" s="316">
        <v>60</v>
      </c>
      <c r="I395" s="323"/>
      <c r="J395" s="316">
        <f>F395</f>
        <v>677</v>
      </c>
      <c r="K395" s="316">
        <v>300</v>
      </c>
      <c r="L395" s="324"/>
      <c r="M395" s="307">
        <v>125</v>
      </c>
      <c r="N395" s="307">
        <f>F395*0.0775*13</f>
        <v>682.07749999999999</v>
      </c>
      <c r="O395" s="321"/>
      <c r="P395" s="307">
        <f>N395/13</f>
        <v>52.467500000000001</v>
      </c>
      <c r="Q395" s="307"/>
      <c r="R395" s="307"/>
      <c r="S395" s="307">
        <f t="shared" si="330"/>
        <v>660.07499999999993</v>
      </c>
      <c r="T395" s="307">
        <f>S395/13</f>
        <v>50.774999999999991</v>
      </c>
      <c r="U395" s="307"/>
      <c r="V395" s="307"/>
      <c r="W395" s="307">
        <f>N395+Q395+S395+U395</f>
        <v>1342.1524999999999</v>
      </c>
      <c r="X395" s="307">
        <f t="shared" si="331"/>
        <v>88.01</v>
      </c>
      <c r="Y395" s="307">
        <f>X395/13</f>
        <v>6.7700000000000005</v>
      </c>
      <c r="Z395" s="307">
        <f t="shared" si="332"/>
        <v>217.60714285714283</v>
      </c>
      <c r="AA395" s="307">
        <f>Z395*0.0775</f>
        <v>16.864553571428569</v>
      </c>
      <c r="AB395" s="307"/>
      <c r="AC395" s="307">
        <f>Z395*0.075</f>
        <v>16.320535714285711</v>
      </c>
      <c r="AD395" s="307"/>
      <c r="AE395" s="307">
        <f>AA395+AB395+AC395+AD395+0.01</f>
        <v>33.195089285714282</v>
      </c>
      <c r="AF395" s="307">
        <f>Z395*0.01</f>
        <v>2.1760714285714284</v>
      </c>
      <c r="AG395" s="324"/>
      <c r="AH395" s="324"/>
      <c r="AI395" s="324"/>
      <c r="AJ395" s="324"/>
    </row>
    <row r="396" spans="1:36" ht="21.75" customHeight="1">
      <c r="A396" s="21"/>
      <c r="B396" s="453" t="s">
        <v>555</v>
      </c>
      <c r="C396" s="454"/>
      <c r="D396" s="455"/>
      <c r="E396" s="314"/>
      <c r="F396" s="315"/>
      <c r="G396" s="316"/>
      <c r="H396" s="316"/>
      <c r="I396" s="323"/>
      <c r="J396" s="316"/>
      <c r="K396" s="316"/>
      <c r="L396" s="324"/>
      <c r="M396" s="307"/>
      <c r="N396" s="307"/>
      <c r="O396" s="307"/>
      <c r="P396" s="312"/>
      <c r="Q396" s="307"/>
      <c r="R396" s="307"/>
      <c r="S396" s="307"/>
      <c r="T396" s="307"/>
      <c r="U396" s="307"/>
      <c r="V396" s="307"/>
      <c r="W396" s="307"/>
      <c r="X396" s="307"/>
      <c r="Y396" s="307"/>
      <c r="Z396" s="307"/>
      <c r="AA396" s="307"/>
      <c r="AB396" s="307"/>
      <c r="AC396" s="307"/>
      <c r="AD396" s="307"/>
      <c r="AE396" s="307"/>
      <c r="AF396" s="307"/>
      <c r="AG396" s="324"/>
      <c r="AH396" s="324"/>
      <c r="AI396" s="324"/>
      <c r="AJ396" s="324"/>
    </row>
    <row r="397" spans="1:36" ht="19.5">
      <c r="A397" s="21">
        <f>A395+1</f>
        <v>328</v>
      </c>
      <c r="B397" s="231" t="s">
        <v>557</v>
      </c>
      <c r="C397" s="364" t="s">
        <v>452</v>
      </c>
      <c r="D397" s="313" t="s">
        <v>79</v>
      </c>
      <c r="E397" s="314" t="s">
        <v>715</v>
      </c>
      <c r="F397" s="315">
        <f>645+30+50+50</f>
        <v>775</v>
      </c>
      <c r="G397" s="316">
        <f>F397*12</f>
        <v>9300</v>
      </c>
      <c r="H397" s="316">
        <v>60</v>
      </c>
      <c r="I397" s="323"/>
      <c r="J397" s="316">
        <f t="shared" ref="J397:J404" si="353">F397</f>
        <v>775</v>
      </c>
      <c r="K397" s="316">
        <v>300</v>
      </c>
      <c r="L397" s="324"/>
      <c r="M397" s="307">
        <v>125</v>
      </c>
      <c r="N397" s="307">
        <f>F397*0.0775*13</f>
        <v>780.8125</v>
      </c>
      <c r="O397" s="307">
        <f>N397/13</f>
        <v>60.0625</v>
      </c>
      <c r="P397" s="307"/>
      <c r="Q397" s="307"/>
      <c r="R397" s="307"/>
      <c r="S397" s="307">
        <f t="shared" ref="S397:S404" si="354">F397*0.075*13</f>
        <v>755.625</v>
      </c>
      <c r="T397" s="307">
        <f>S397/13</f>
        <v>58.125</v>
      </c>
      <c r="U397" s="307"/>
      <c r="V397" s="307"/>
      <c r="W397" s="307">
        <f>N397+Q397+S397+U397+0.01</f>
        <v>1536.4475</v>
      </c>
      <c r="X397" s="307">
        <f t="shared" ref="X397:X404" si="355">F397*0.01*13</f>
        <v>100.75</v>
      </c>
      <c r="Y397" s="307">
        <f>X397/13</f>
        <v>7.75</v>
      </c>
      <c r="Z397" s="307">
        <f t="shared" ref="Z397:Z404" si="356">F397/30/7*1.5*45</f>
        <v>249.10714285714286</v>
      </c>
      <c r="AA397" s="307">
        <f>Z397*0.0775</f>
        <v>19.305803571428573</v>
      </c>
      <c r="AB397" s="307"/>
      <c r="AC397" s="307">
        <f t="shared" ref="AC397:AC404" si="357">Z397*0.075</f>
        <v>18.683035714285715</v>
      </c>
      <c r="AD397" s="307"/>
      <c r="AE397" s="307">
        <f>AA397+AB397+AC397+AD397</f>
        <v>37.988839285714292</v>
      </c>
      <c r="AF397" s="307">
        <f t="shared" ref="AF397:AF404" si="358">Z397*0.01</f>
        <v>2.4910714285714288</v>
      </c>
      <c r="AG397" s="324"/>
      <c r="AH397" s="324"/>
      <c r="AI397" s="324"/>
      <c r="AJ397" s="324"/>
    </row>
    <row r="398" spans="1:36" ht="19.5">
      <c r="A398" s="21">
        <f>A397+1</f>
        <v>329</v>
      </c>
      <c r="B398" s="231" t="s">
        <v>561</v>
      </c>
      <c r="C398" s="364" t="s">
        <v>452</v>
      </c>
      <c r="D398" s="313" t="s">
        <v>79</v>
      </c>
      <c r="E398" s="314" t="s">
        <v>715</v>
      </c>
      <c r="F398" s="315">
        <f>694.29+30+50+50</f>
        <v>824.29</v>
      </c>
      <c r="G398" s="316">
        <f t="shared" ref="G398:G404" si="359">F398*12</f>
        <v>9891.48</v>
      </c>
      <c r="H398" s="316">
        <v>60</v>
      </c>
      <c r="I398" s="323"/>
      <c r="J398" s="316">
        <f t="shared" si="353"/>
        <v>824.29</v>
      </c>
      <c r="K398" s="316">
        <v>300</v>
      </c>
      <c r="L398" s="324"/>
      <c r="M398" s="307">
        <v>125</v>
      </c>
      <c r="N398" s="307"/>
      <c r="O398" s="307"/>
      <c r="P398" s="307"/>
      <c r="Q398" s="307"/>
      <c r="R398" s="307"/>
      <c r="S398" s="307">
        <f t="shared" si="354"/>
        <v>803.68274999999994</v>
      </c>
      <c r="T398" s="307">
        <f t="shared" ref="T398:T404" si="360">S398/13</f>
        <v>61.821749999999994</v>
      </c>
      <c r="U398" s="307">
        <f>F398*0.06*13</f>
        <v>642.94619999999986</v>
      </c>
      <c r="V398" s="307">
        <f>U398/12</f>
        <v>53.578849999999989</v>
      </c>
      <c r="W398" s="307">
        <f t="shared" ref="W398:W404" si="361">N398+Q398+S398+U398</f>
        <v>1446.6289499999998</v>
      </c>
      <c r="X398" s="307">
        <f t="shared" si="355"/>
        <v>107.15770000000001</v>
      </c>
      <c r="Y398" s="307">
        <f t="shared" ref="Y398:Y404" si="362">X398/13</f>
        <v>8.2429000000000006</v>
      </c>
      <c r="Z398" s="307">
        <f t="shared" si="356"/>
        <v>264.95035714285711</v>
      </c>
      <c r="AA398" s="307"/>
      <c r="AB398" s="307"/>
      <c r="AC398" s="307">
        <f t="shared" si="357"/>
        <v>19.871276785714283</v>
      </c>
      <c r="AD398" s="307">
        <f>Z398*0.06</f>
        <v>15.897021428571426</v>
      </c>
      <c r="AE398" s="307">
        <f t="shared" ref="AE398:AE404" si="363">AA398+AB398+AC398+AD398</f>
        <v>35.768298214285707</v>
      </c>
      <c r="AF398" s="307">
        <f t="shared" si="358"/>
        <v>2.6495035714285713</v>
      </c>
      <c r="AG398" s="324"/>
      <c r="AH398" s="324"/>
      <c r="AI398" s="324"/>
      <c r="AJ398" s="324"/>
    </row>
    <row r="399" spans="1:36" ht="19.5">
      <c r="A399" s="21">
        <f t="shared" ref="A399:A404" si="364">A398+1</f>
        <v>330</v>
      </c>
      <c r="B399" s="231" t="s">
        <v>804</v>
      </c>
      <c r="C399" s="364" t="s">
        <v>452</v>
      </c>
      <c r="D399" s="313" t="s">
        <v>79</v>
      </c>
      <c r="E399" s="314" t="s">
        <v>715</v>
      </c>
      <c r="F399" s="315">
        <f>614.86+30+50+50</f>
        <v>744.86</v>
      </c>
      <c r="G399" s="316">
        <f>F399*12</f>
        <v>8938.32</v>
      </c>
      <c r="H399" s="316">
        <v>60</v>
      </c>
      <c r="I399" s="323"/>
      <c r="J399" s="316">
        <f t="shared" si="353"/>
        <v>744.86</v>
      </c>
      <c r="K399" s="316">
        <v>300</v>
      </c>
      <c r="L399" s="324"/>
      <c r="M399" s="307">
        <v>125</v>
      </c>
      <c r="N399" s="307"/>
      <c r="O399" s="307"/>
      <c r="P399" s="307"/>
      <c r="Q399" s="307"/>
      <c r="R399" s="307"/>
      <c r="S399" s="307">
        <f t="shared" si="354"/>
        <v>726.23850000000004</v>
      </c>
      <c r="T399" s="307">
        <f>S399/13</f>
        <v>55.864500000000007</v>
      </c>
      <c r="U399" s="307">
        <f>F399*0.06*13</f>
        <v>580.99080000000004</v>
      </c>
      <c r="V399" s="307">
        <f>U399/12</f>
        <v>48.415900000000001</v>
      </c>
      <c r="W399" s="307">
        <f t="shared" si="361"/>
        <v>1307.2293</v>
      </c>
      <c r="X399" s="307">
        <f t="shared" si="355"/>
        <v>96.831800000000001</v>
      </c>
      <c r="Y399" s="307">
        <f>X399/13</f>
        <v>7.4485999999999999</v>
      </c>
      <c r="Z399" s="307">
        <f t="shared" si="356"/>
        <v>239.41928571428573</v>
      </c>
      <c r="AA399" s="307"/>
      <c r="AB399" s="307"/>
      <c r="AC399" s="307">
        <f t="shared" si="357"/>
        <v>17.956446428571429</v>
      </c>
      <c r="AD399" s="307">
        <f>Z399*0.06</f>
        <v>14.365157142857143</v>
      </c>
      <c r="AE399" s="307">
        <f t="shared" si="363"/>
        <v>32.321603571428568</v>
      </c>
      <c r="AF399" s="307">
        <f t="shared" si="358"/>
        <v>2.3941928571428575</v>
      </c>
      <c r="AG399" s="324"/>
      <c r="AH399" s="324"/>
      <c r="AI399" s="324"/>
      <c r="AJ399" s="324"/>
    </row>
    <row r="400" spans="1:36" ht="18">
      <c r="A400" s="21">
        <f t="shared" si="364"/>
        <v>331</v>
      </c>
      <c r="B400" s="336" t="s">
        <v>565</v>
      </c>
      <c r="C400" s="364" t="s">
        <v>452</v>
      </c>
      <c r="D400" s="313" t="s">
        <v>762</v>
      </c>
      <c r="E400" s="314" t="s">
        <v>715</v>
      </c>
      <c r="F400" s="315">
        <f>467+30+50</f>
        <v>547</v>
      </c>
      <c r="G400" s="316">
        <f t="shared" ref="G400" si="365">F400*12</f>
        <v>6564</v>
      </c>
      <c r="H400" s="316">
        <v>60</v>
      </c>
      <c r="I400" s="323"/>
      <c r="J400" s="316">
        <f t="shared" ref="J400" si="366">F400</f>
        <v>547</v>
      </c>
      <c r="K400" s="316">
        <v>300</v>
      </c>
      <c r="L400" s="324"/>
      <c r="M400" s="307"/>
      <c r="N400" s="307">
        <f>F400*0.0775*13</f>
        <v>551.10249999999996</v>
      </c>
      <c r="O400" s="307">
        <f>N400/13</f>
        <v>42.392499999999998</v>
      </c>
      <c r="P400" s="307"/>
      <c r="Q400" s="307"/>
      <c r="R400" s="307" t="s">
        <v>50</v>
      </c>
      <c r="S400" s="307">
        <f t="shared" si="354"/>
        <v>533.32499999999993</v>
      </c>
      <c r="T400" s="307">
        <f t="shared" ref="T400" si="367">S400/13</f>
        <v>41.024999999999991</v>
      </c>
      <c r="U400" s="307"/>
      <c r="V400" s="307"/>
      <c r="W400" s="307">
        <f t="shared" ref="W400" si="368">N400+Q400+S400+U400</f>
        <v>1084.4274999999998</v>
      </c>
      <c r="X400" s="307">
        <f t="shared" si="355"/>
        <v>71.11</v>
      </c>
      <c r="Y400" s="307">
        <f t="shared" ref="Y400" si="369">X400/13</f>
        <v>5.47</v>
      </c>
      <c r="Z400" s="307">
        <f t="shared" si="356"/>
        <v>175.82142857142858</v>
      </c>
      <c r="AA400" s="307">
        <f>Z400*0.0775</f>
        <v>13.626160714285716</v>
      </c>
      <c r="AB400" s="307"/>
      <c r="AC400" s="307">
        <f t="shared" ref="AC400" si="370">Z400*0.075</f>
        <v>13.186607142857143</v>
      </c>
      <c r="AD400" s="307"/>
      <c r="AE400" s="307">
        <f>AA400+AB400+AC400+AD400+0.01</f>
        <v>26.82276785714286</v>
      </c>
      <c r="AF400" s="307">
        <f t="shared" ref="AF400" si="371">Z400*0.01</f>
        <v>1.758214285714286</v>
      </c>
      <c r="AG400" s="324"/>
      <c r="AH400" s="324"/>
      <c r="AI400" s="324"/>
      <c r="AJ400" s="324"/>
    </row>
    <row r="401" spans="1:36" ht="19.5">
      <c r="A401" s="21">
        <f t="shared" si="364"/>
        <v>332</v>
      </c>
      <c r="B401" s="161" t="s">
        <v>565</v>
      </c>
      <c r="C401" s="364" t="s">
        <v>452</v>
      </c>
      <c r="D401" s="313" t="s">
        <v>79</v>
      </c>
      <c r="E401" s="314" t="s">
        <v>715</v>
      </c>
      <c r="F401" s="315">
        <f>467+30+50+50</f>
        <v>597</v>
      </c>
      <c r="G401" s="316">
        <f t="shared" si="359"/>
        <v>7164</v>
      </c>
      <c r="H401" s="316">
        <v>60</v>
      </c>
      <c r="I401" s="323"/>
      <c r="J401" s="316">
        <f t="shared" si="353"/>
        <v>597</v>
      </c>
      <c r="K401" s="316">
        <v>300</v>
      </c>
      <c r="L401" s="324"/>
      <c r="M401" s="307"/>
      <c r="N401" s="307">
        <f>F401*0.0775*13</f>
        <v>601.47749999999996</v>
      </c>
      <c r="O401" s="307">
        <f>N401/13</f>
        <v>46.267499999999998</v>
      </c>
      <c r="P401" s="307"/>
      <c r="Q401" s="307"/>
      <c r="R401" s="307" t="s">
        <v>50</v>
      </c>
      <c r="S401" s="307">
        <f t="shared" si="354"/>
        <v>582.07499999999993</v>
      </c>
      <c r="T401" s="307">
        <f t="shared" si="360"/>
        <v>44.774999999999991</v>
      </c>
      <c r="U401" s="307"/>
      <c r="V401" s="307"/>
      <c r="W401" s="307">
        <f t="shared" si="361"/>
        <v>1183.5524999999998</v>
      </c>
      <c r="X401" s="307">
        <f t="shared" si="355"/>
        <v>77.61</v>
      </c>
      <c r="Y401" s="307">
        <f t="shared" si="362"/>
        <v>5.97</v>
      </c>
      <c r="Z401" s="307">
        <f t="shared" si="356"/>
        <v>191.89285714285714</v>
      </c>
      <c r="AA401" s="307">
        <f>Z401*0.0775</f>
        <v>14.871696428571429</v>
      </c>
      <c r="AB401" s="307"/>
      <c r="AC401" s="307">
        <f t="shared" si="357"/>
        <v>14.391964285714284</v>
      </c>
      <c r="AD401" s="307"/>
      <c r="AE401" s="307">
        <f>AA401+AB401+AC401+AD401+0.01</f>
        <v>29.273660714285715</v>
      </c>
      <c r="AF401" s="307">
        <f t="shared" si="358"/>
        <v>1.9189285714285713</v>
      </c>
      <c r="AG401" s="324"/>
      <c r="AH401" s="324"/>
      <c r="AI401" s="324"/>
      <c r="AJ401" s="324"/>
    </row>
    <row r="402" spans="1:36" ht="19.5">
      <c r="A402" s="21">
        <f t="shared" si="364"/>
        <v>333</v>
      </c>
      <c r="B402" s="161" t="s">
        <v>567</v>
      </c>
      <c r="C402" s="364" t="s">
        <v>452</v>
      </c>
      <c r="D402" s="313" t="s">
        <v>79</v>
      </c>
      <c r="E402" s="314" t="s">
        <v>715</v>
      </c>
      <c r="F402" s="315">
        <f>614.86+30+50+50</f>
        <v>744.86</v>
      </c>
      <c r="G402" s="316">
        <f t="shared" si="359"/>
        <v>8938.32</v>
      </c>
      <c r="H402" s="316">
        <v>60</v>
      </c>
      <c r="I402" s="323"/>
      <c r="J402" s="316">
        <f t="shared" si="353"/>
        <v>744.86</v>
      </c>
      <c r="K402" s="316">
        <v>300</v>
      </c>
      <c r="L402" s="324"/>
      <c r="M402" s="307">
        <v>125</v>
      </c>
      <c r="N402" s="307"/>
      <c r="O402" s="307"/>
      <c r="P402" s="307"/>
      <c r="Q402" s="307"/>
      <c r="R402" s="307"/>
      <c r="S402" s="307">
        <f t="shared" si="354"/>
        <v>726.23850000000004</v>
      </c>
      <c r="T402" s="307">
        <f t="shared" si="360"/>
        <v>55.864500000000007</v>
      </c>
      <c r="U402" s="307">
        <f>F402*0.06*13</f>
        <v>580.99080000000004</v>
      </c>
      <c r="V402" s="307">
        <f>U402/12</f>
        <v>48.415900000000001</v>
      </c>
      <c r="W402" s="307">
        <f t="shared" si="361"/>
        <v>1307.2293</v>
      </c>
      <c r="X402" s="307">
        <f t="shared" si="355"/>
        <v>96.831800000000001</v>
      </c>
      <c r="Y402" s="307">
        <f t="shared" si="362"/>
        <v>7.4485999999999999</v>
      </c>
      <c r="Z402" s="307">
        <f t="shared" si="356"/>
        <v>239.41928571428573</v>
      </c>
      <c r="AA402" s="307"/>
      <c r="AB402" s="307"/>
      <c r="AC402" s="307">
        <f t="shared" si="357"/>
        <v>17.956446428571429</v>
      </c>
      <c r="AD402" s="307">
        <f>Z402*0.06</f>
        <v>14.365157142857143</v>
      </c>
      <c r="AE402" s="307">
        <f t="shared" si="363"/>
        <v>32.321603571428568</v>
      </c>
      <c r="AF402" s="307">
        <f t="shared" si="358"/>
        <v>2.3941928571428575</v>
      </c>
      <c r="AG402" s="324"/>
      <c r="AH402" s="324"/>
      <c r="AI402" s="324"/>
      <c r="AJ402" s="324"/>
    </row>
    <row r="403" spans="1:36" ht="19.5">
      <c r="A403" s="21">
        <f t="shared" si="364"/>
        <v>334</v>
      </c>
      <c r="B403" s="161" t="s">
        <v>569</v>
      </c>
      <c r="C403" s="364" t="s">
        <v>452</v>
      </c>
      <c r="D403" s="313" t="s">
        <v>79</v>
      </c>
      <c r="E403" s="314" t="s">
        <v>715</v>
      </c>
      <c r="F403" s="315">
        <f>614.86+30+50+50</f>
        <v>744.86</v>
      </c>
      <c r="G403" s="316">
        <f t="shared" si="359"/>
        <v>8938.32</v>
      </c>
      <c r="H403" s="316">
        <v>60</v>
      </c>
      <c r="I403" s="323"/>
      <c r="J403" s="316">
        <f t="shared" si="353"/>
        <v>744.86</v>
      </c>
      <c r="K403" s="316">
        <v>300</v>
      </c>
      <c r="L403" s="324"/>
      <c r="M403" s="307">
        <v>125</v>
      </c>
      <c r="N403" s="307"/>
      <c r="O403" s="307"/>
      <c r="P403" s="307"/>
      <c r="Q403" s="307"/>
      <c r="R403" s="307"/>
      <c r="S403" s="307">
        <f t="shared" si="354"/>
        <v>726.23850000000004</v>
      </c>
      <c r="T403" s="307">
        <f t="shared" si="360"/>
        <v>55.864500000000007</v>
      </c>
      <c r="U403" s="307">
        <f>F403*0.06*13</f>
        <v>580.99080000000004</v>
      </c>
      <c r="V403" s="307">
        <f>U403/12</f>
        <v>48.415900000000001</v>
      </c>
      <c r="W403" s="307">
        <f t="shared" si="361"/>
        <v>1307.2293</v>
      </c>
      <c r="X403" s="307">
        <f t="shared" si="355"/>
        <v>96.831800000000001</v>
      </c>
      <c r="Y403" s="307">
        <f t="shared" si="362"/>
        <v>7.4485999999999999</v>
      </c>
      <c r="Z403" s="307">
        <f t="shared" si="356"/>
        <v>239.41928571428573</v>
      </c>
      <c r="AA403" s="307"/>
      <c r="AB403" s="307"/>
      <c r="AC403" s="307">
        <f t="shared" si="357"/>
        <v>17.956446428571429</v>
      </c>
      <c r="AD403" s="307">
        <f>Z403*0.06</f>
        <v>14.365157142857143</v>
      </c>
      <c r="AE403" s="307">
        <f t="shared" si="363"/>
        <v>32.321603571428568</v>
      </c>
      <c r="AF403" s="307">
        <f t="shared" si="358"/>
        <v>2.3941928571428575</v>
      </c>
      <c r="AG403" s="324"/>
      <c r="AH403" s="324"/>
      <c r="AI403" s="324"/>
      <c r="AJ403" s="324"/>
    </row>
    <row r="404" spans="1:36" ht="19.5">
      <c r="A404" s="21">
        <f t="shared" si="364"/>
        <v>335</v>
      </c>
      <c r="B404" s="161" t="s">
        <v>571</v>
      </c>
      <c r="C404" s="364" t="s">
        <v>452</v>
      </c>
      <c r="D404" s="313" t="s">
        <v>79</v>
      </c>
      <c r="E404" s="314" t="s">
        <v>715</v>
      </c>
      <c r="F404" s="315">
        <f>467</f>
        <v>467</v>
      </c>
      <c r="G404" s="316">
        <f t="shared" si="359"/>
        <v>5604</v>
      </c>
      <c r="H404" s="316">
        <v>60</v>
      </c>
      <c r="I404" s="323"/>
      <c r="J404" s="316">
        <f t="shared" si="353"/>
        <v>467</v>
      </c>
      <c r="K404" s="316">
        <v>300</v>
      </c>
      <c r="L404" s="324"/>
      <c r="M404" s="307">
        <v>125</v>
      </c>
      <c r="N404" s="307">
        <f>F404*0.0775*13</f>
        <v>470.50250000000005</v>
      </c>
      <c r="O404" s="307"/>
      <c r="P404" s="307">
        <f>N404/13</f>
        <v>36.192500000000003</v>
      </c>
      <c r="Q404" s="347"/>
      <c r="R404" s="307"/>
      <c r="S404" s="307">
        <f t="shared" si="354"/>
        <v>455.32499999999999</v>
      </c>
      <c r="T404" s="307">
        <f t="shared" si="360"/>
        <v>35.024999999999999</v>
      </c>
      <c r="U404" s="307"/>
      <c r="V404" s="307"/>
      <c r="W404" s="307">
        <f t="shared" si="361"/>
        <v>925.8275000000001</v>
      </c>
      <c r="X404" s="307">
        <f t="shared" si="355"/>
        <v>60.71</v>
      </c>
      <c r="Y404" s="307">
        <f t="shared" si="362"/>
        <v>4.67</v>
      </c>
      <c r="Z404" s="307">
        <f t="shared" si="356"/>
        <v>150.10714285714286</v>
      </c>
      <c r="AA404" s="307">
        <f>Z404*0.0775</f>
        <v>11.633303571428572</v>
      </c>
      <c r="AB404" s="307"/>
      <c r="AC404" s="307">
        <f t="shared" si="357"/>
        <v>11.258035714285715</v>
      </c>
      <c r="AD404" s="307"/>
      <c r="AE404" s="307">
        <f t="shared" si="363"/>
        <v>22.891339285714288</v>
      </c>
      <c r="AF404" s="307">
        <f t="shared" si="358"/>
        <v>1.5010714285714286</v>
      </c>
      <c r="AG404" s="324"/>
      <c r="AH404" s="324"/>
      <c r="AI404" s="324"/>
      <c r="AJ404" s="324"/>
    </row>
    <row r="405" spans="1:36" ht="16.5" customHeight="1">
      <c r="A405" s="21"/>
      <c r="B405" s="138" t="s">
        <v>572</v>
      </c>
      <c r="C405" s="364"/>
      <c r="D405" s="313"/>
      <c r="E405" s="314"/>
      <c r="F405" s="315"/>
      <c r="G405" s="316"/>
      <c r="H405" s="316"/>
      <c r="I405" s="323"/>
      <c r="J405" s="316"/>
      <c r="K405" s="316"/>
      <c r="L405" s="324"/>
      <c r="M405" s="307"/>
      <c r="N405" s="307"/>
      <c r="O405" s="307"/>
      <c r="P405" s="312"/>
      <c r="Q405" s="347"/>
      <c r="R405" s="307"/>
      <c r="S405" s="307"/>
      <c r="T405" s="307"/>
      <c r="U405" s="307"/>
      <c r="V405" s="307"/>
      <c r="W405" s="307"/>
      <c r="X405" s="307"/>
      <c r="Y405" s="307"/>
      <c r="Z405" s="307"/>
      <c r="AA405" s="307"/>
      <c r="AB405" s="307"/>
      <c r="AC405" s="307"/>
      <c r="AD405" s="307"/>
      <c r="AE405" s="307"/>
      <c r="AF405" s="307"/>
      <c r="AG405" s="324"/>
      <c r="AH405" s="324"/>
      <c r="AI405" s="324"/>
      <c r="AJ405" s="324"/>
    </row>
    <row r="406" spans="1:36" ht="19.5">
      <c r="A406" s="21">
        <f>A404+1</f>
        <v>336</v>
      </c>
      <c r="B406" s="147" t="s">
        <v>716</v>
      </c>
      <c r="C406" s="364" t="s">
        <v>452</v>
      </c>
      <c r="D406" s="313" t="s">
        <v>79</v>
      </c>
      <c r="E406" s="314" t="s">
        <v>715</v>
      </c>
      <c r="F406" s="315">
        <v>700</v>
      </c>
      <c r="G406" s="316">
        <f>F406*12</f>
        <v>8400</v>
      </c>
      <c r="H406" s="316">
        <v>60</v>
      </c>
      <c r="I406" s="323"/>
      <c r="J406" s="316">
        <f>F406</f>
        <v>700</v>
      </c>
      <c r="K406" s="316">
        <v>300</v>
      </c>
      <c r="L406" s="324"/>
      <c r="M406" s="307"/>
      <c r="N406" s="307">
        <f>F406*0.0775*13</f>
        <v>705.25</v>
      </c>
      <c r="O406" s="307"/>
      <c r="P406" s="307">
        <f>N406/13</f>
        <v>54.25</v>
      </c>
      <c r="Q406" s="307"/>
      <c r="R406" s="307"/>
      <c r="S406" s="307">
        <f>F406*0.075*13</f>
        <v>682.5</v>
      </c>
      <c r="T406" s="307">
        <f>S406/13</f>
        <v>52.5</v>
      </c>
      <c r="U406" s="307"/>
      <c r="V406" s="307"/>
      <c r="W406" s="307">
        <f>N406+Q406+S406+U406</f>
        <v>1387.75</v>
      </c>
      <c r="X406" s="307">
        <f>F406*0.01*13</f>
        <v>91</v>
      </c>
      <c r="Y406" s="307">
        <f>X406/13</f>
        <v>7</v>
      </c>
      <c r="Z406" s="307">
        <f>F406/30/7*1.5*45</f>
        <v>225</v>
      </c>
      <c r="AA406" s="307">
        <f>Z406*0.0775</f>
        <v>17.4375</v>
      </c>
      <c r="AB406" s="307"/>
      <c r="AC406" s="307">
        <f>Z406*0.075</f>
        <v>16.875</v>
      </c>
      <c r="AD406" s="307"/>
      <c r="AE406" s="307">
        <f>AA406+AB406+AC406+AD406+0.01</f>
        <v>34.322499999999998</v>
      </c>
      <c r="AF406" s="307">
        <f>Z406*0.01</f>
        <v>2.25</v>
      </c>
      <c r="AG406" s="324"/>
      <c r="AH406" s="324"/>
      <c r="AI406" s="324"/>
      <c r="AJ406" s="324"/>
    </row>
    <row r="407" spans="1:36" ht="19.5">
      <c r="A407" s="21">
        <f>A406+1</f>
        <v>337</v>
      </c>
      <c r="B407" s="147" t="s">
        <v>110</v>
      </c>
      <c r="C407" s="374" t="s">
        <v>452</v>
      </c>
      <c r="D407" s="313" t="s">
        <v>79</v>
      </c>
      <c r="E407" s="314" t="s">
        <v>715</v>
      </c>
      <c r="F407" s="315">
        <v>820</v>
      </c>
      <c r="G407" s="316">
        <f>F407*12</f>
        <v>9840</v>
      </c>
      <c r="H407" s="316">
        <v>60</v>
      </c>
      <c r="I407" s="323"/>
      <c r="J407" s="316">
        <f>F407</f>
        <v>820</v>
      </c>
      <c r="K407" s="316">
        <v>300</v>
      </c>
      <c r="L407" s="324"/>
      <c r="M407" s="307">
        <v>125</v>
      </c>
      <c r="N407" s="307">
        <f>F407*0.0775*13</f>
        <v>826.15</v>
      </c>
      <c r="O407" s="307"/>
      <c r="P407" s="307">
        <f>N407/13</f>
        <v>63.55</v>
      </c>
      <c r="Q407" s="307"/>
      <c r="R407" s="307"/>
      <c r="S407" s="307">
        <f>F407*0.075*13</f>
        <v>799.5</v>
      </c>
      <c r="T407" s="307">
        <f>S407/13</f>
        <v>61.5</v>
      </c>
      <c r="U407" s="307"/>
      <c r="V407" s="307"/>
      <c r="W407" s="307">
        <f>N407+Q407+S407+U407</f>
        <v>1625.65</v>
      </c>
      <c r="X407" s="307">
        <f>F407*0.01*13</f>
        <v>106.6</v>
      </c>
      <c r="Y407" s="307">
        <f>X407/13</f>
        <v>8.1999999999999993</v>
      </c>
      <c r="Z407" s="307">
        <f>F407/30/7*1.5*45</f>
        <v>263.57142857142856</v>
      </c>
      <c r="AA407" s="307">
        <f>Z407*0.0775</f>
        <v>20.426785714285714</v>
      </c>
      <c r="AB407" s="307"/>
      <c r="AC407" s="307">
        <f>Z407*0.075</f>
        <v>19.767857142857142</v>
      </c>
      <c r="AD407" s="307"/>
      <c r="AE407" s="307">
        <f>AA407+AB407+AC407+AD407+0.01</f>
        <v>40.204642857142851</v>
      </c>
      <c r="AF407" s="307">
        <f>Z407*0.01</f>
        <v>2.6357142857142857</v>
      </c>
      <c r="AG407" s="324"/>
      <c r="AH407" s="324"/>
      <c r="AI407" s="324"/>
      <c r="AJ407" s="324"/>
    </row>
    <row r="408" spans="1:36" ht="19.5">
      <c r="A408" s="21">
        <f>A407+1</f>
        <v>338</v>
      </c>
      <c r="B408" s="161" t="s">
        <v>574</v>
      </c>
      <c r="C408" s="364" t="s">
        <v>452</v>
      </c>
      <c r="D408" s="313" t="s">
        <v>79</v>
      </c>
      <c r="E408" s="314" t="s">
        <v>715</v>
      </c>
      <c r="F408" s="315">
        <f>617.72+30+50+50</f>
        <v>747.72</v>
      </c>
      <c r="G408" s="316">
        <f>F408*12</f>
        <v>8972.64</v>
      </c>
      <c r="H408" s="316">
        <v>60</v>
      </c>
      <c r="I408" s="323"/>
      <c r="J408" s="316">
        <f>F408</f>
        <v>747.72</v>
      </c>
      <c r="K408" s="316">
        <v>300</v>
      </c>
      <c r="L408" s="324"/>
      <c r="M408" s="307">
        <v>125</v>
      </c>
      <c r="N408" s="307">
        <f>F408*0.0775*13</f>
        <v>753.3279</v>
      </c>
      <c r="O408" s="321"/>
      <c r="P408" s="307">
        <f>N408/13</f>
        <v>57.948300000000003</v>
      </c>
      <c r="Q408" s="307"/>
      <c r="R408" s="307"/>
      <c r="S408" s="307">
        <f>F408*0.075*13</f>
        <v>729.02700000000004</v>
      </c>
      <c r="T408" s="307">
        <f>S408/13</f>
        <v>56.079000000000001</v>
      </c>
      <c r="U408" s="307"/>
      <c r="V408" s="307"/>
      <c r="W408" s="307">
        <f>N408+Q408+S408+U408</f>
        <v>1482.3549</v>
      </c>
      <c r="X408" s="307">
        <f>F408*0.01*13</f>
        <v>97.203600000000009</v>
      </c>
      <c r="Y408" s="307">
        <f>X408/13</f>
        <v>7.4772000000000007</v>
      </c>
      <c r="Z408" s="307">
        <f>F408/30/7*1.5*45</f>
        <v>240.33857142857141</v>
      </c>
      <c r="AA408" s="307">
        <f>Z408*0.0775</f>
        <v>18.626239285714284</v>
      </c>
      <c r="AB408" s="307"/>
      <c r="AC408" s="307">
        <f>Z408*0.075</f>
        <v>18.025392857142855</v>
      </c>
      <c r="AD408" s="307"/>
      <c r="AE408" s="307">
        <f>AA408+AB408+AC408+AD408</f>
        <v>36.651632142857139</v>
      </c>
      <c r="AF408" s="307">
        <f>Z408*0.01</f>
        <v>2.4033857142857142</v>
      </c>
      <c r="AG408" s="324"/>
      <c r="AH408" s="324"/>
      <c r="AI408" s="324"/>
      <c r="AJ408" s="324"/>
    </row>
    <row r="409" spans="1:36" ht="19.5">
      <c r="A409" s="21">
        <f>A408+1</f>
        <v>339</v>
      </c>
      <c r="B409" s="161" t="s">
        <v>576</v>
      </c>
      <c r="C409" s="364" t="s">
        <v>452</v>
      </c>
      <c r="D409" s="313" t="s">
        <v>79</v>
      </c>
      <c r="E409" s="314" t="s">
        <v>715</v>
      </c>
      <c r="F409" s="315">
        <f>467+30+50+50</f>
        <v>597</v>
      </c>
      <c r="G409" s="316">
        <f>F409*12</f>
        <v>7164</v>
      </c>
      <c r="H409" s="316">
        <v>60</v>
      </c>
      <c r="I409" s="323"/>
      <c r="J409" s="316">
        <f>F409</f>
        <v>597</v>
      </c>
      <c r="K409" s="316">
        <v>300</v>
      </c>
      <c r="L409" s="324"/>
      <c r="M409" s="307">
        <v>125</v>
      </c>
      <c r="N409" s="307">
        <f>F409*0.0775*13</f>
        <v>601.47749999999996</v>
      </c>
      <c r="O409" s="321"/>
      <c r="P409" s="307">
        <f>N409/13</f>
        <v>46.267499999999998</v>
      </c>
      <c r="Q409" s="307"/>
      <c r="R409" s="307"/>
      <c r="S409" s="307">
        <f>F409*0.075*13</f>
        <v>582.07499999999993</v>
      </c>
      <c r="T409" s="307">
        <f>S409/13</f>
        <v>44.774999999999991</v>
      </c>
      <c r="U409" s="307"/>
      <c r="V409" s="307"/>
      <c r="W409" s="307">
        <f>N409+Q409+S409+U409</f>
        <v>1183.5524999999998</v>
      </c>
      <c r="X409" s="307">
        <f>F409*0.01*13</f>
        <v>77.61</v>
      </c>
      <c r="Y409" s="307">
        <f>X409/13</f>
        <v>5.97</v>
      </c>
      <c r="Z409" s="307">
        <f>F409/30/7*1.5*45</f>
        <v>191.89285714285714</v>
      </c>
      <c r="AA409" s="307">
        <f>Z409*0.0775</f>
        <v>14.871696428571429</v>
      </c>
      <c r="AB409" s="307"/>
      <c r="AC409" s="307">
        <f>Z409*0.075</f>
        <v>14.391964285714284</v>
      </c>
      <c r="AD409" s="307"/>
      <c r="AE409" s="307">
        <f>AA409+AB409+AC409+AD409+0.01</f>
        <v>29.273660714285715</v>
      </c>
      <c r="AF409" s="307">
        <f>Z409*0.01</f>
        <v>1.9189285714285713</v>
      </c>
      <c r="AG409" s="324"/>
      <c r="AH409" s="324"/>
      <c r="AI409" s="324"/>
      <c r="AJ409" s="324"/>
    </row>
    <row r="410" spans="1:36">
      <c r="A410" s="21"/>
      <c r="B410" s="138" t="s">
        <v>577</v>
      </c>
      <c r="C410" s="364"/>
      <c r="D410" s="313"/>
      <c r="E410" s="314"/>
      <c r="F410" s="315"/>
      <c r="G410" s="316"/>
      <c r="H410" s="316"/>
      <c r="I410" s="323"/>
      <c r="J410" s="316"/>
      <c r="K410" s="316"/>
      <c r="L410" s="324"/>
      <c r="M410" s="307"/>
      <c r="N410" s="307"/>
      <c r="O410" s="321"/>
      <c r="P410" s="312"/>
      <c r="Q410" s="307"/>
      <c r="R410" s="307"/>
      <c r="S410" s="307"/>
      <c r="T410" s="307"/>
      <c r="U410" s="307"/>
      <c r="V410" s="307"/>
      <c r="W410" s="307"/>
      <c r="X410" s="307"/>
      <c r="Y410" s="307"/>
      <c r="Z410" s="307"/>
      <c r="AA410" s="307"/>
      <c r="AB410" s="307"/>
      <c r="AC410" s="307"/>
      <c r="AD410" s="307"/>
      <c r="AE410" s="307"/>
      <c r="AF410" s="307"/>
      <c r="AG410" s="324"/>
      <c r="AH410" s="324"/>
      <c r="AI410" s="324"/>
      <c r="AJ410" s="324"/>
    </row>
    <row r="411" spans="1:36" ht="19.5">
      <c r="A411" s="21">
        <f>A409+1</f>
        <v>340</v>
      </c>
      <c r="B411" s="161" t="s">
        <v>579</v>
      </c>
      <c r="C411" s="364" t="s">
        <v>452</v>
      </c>
      <c r="D411" s="313" t="s">
        <v>79</v>
      </c>
      <c r="E411" s="314" t="s">
        <v>715</v>
      </c>
      <c r="F411" s="315">
        <f>617.72+30+50+50</f>
        <v>747.72</v>
      </c>
      <c r="G411" s="316">
        <f>F411*12</f>
        <v>8972.64</v>
      </c>
      <c r="H411" s="316">
        <v>60</v>
      </c>
      <c r="I411" s="323"/>
      <c r="J411" s="316">
        <f>F411</f>
        <v>747.72</v>
      </c>
      <c r="K411" s="316">
        <v>300</v>
      </c>
      <c r="L411" s="324"/>
      <c r="M411" s="307">
        <v>125</v>
      </c>
      <c r="N411" s="307">
        <f>F411*0.0775*13</f>
        <v>753.3279</v>
      </c>
      <c r="O411" s="321"/>
      <c r="P411" s="307">
        <f>N411/13</f>
        <v>57.948300000000003</v>
      </c>
      <c r="Q411" s="307"/>
      <c r="R411" s="307"/>
      <c r="S411" s="307">
        <f>F411*0.075*13</f>
        <v>729.02700000000004</v>
      </c>
      <c r="T411" s="307">
        <f>S411/13</f>
        <v>56.079000000000001</v>
      </c>
      <c r="U411" s="307"/>
      <c r="V411" s="307"/>
      <c r="W411" s="307">
        <f>N411+Q411+S411+U411</f>
        <v>1482.3549</v>
      </c>
      <c r="X411" s="307">
        <f>F411*0.01*13</f>
        <v>97.203600000000009</v>
      </c>
      <c r="Y411" s="307">
        <f>X411/13</f>
        <v>7.4772000000000007</v>
      </c>
      <c r="Z411" s="307">
        <f>F411/30/7*1.5*45</f>
        <v>240.33857142857141</v>
      </c>
      <c r="AA411" s="307">
        <f>Z411*0.0775</f>
        <v>18.626239285714284</v>
      </c>
      <c r="AB411" s="307"/>
      <c r="AC411" s="307">
        <f>Z411*0.075</f>
        <v>18.025392857142855</v>
      </c>
      <c r="AD411" s="307"/>
      <c r="AE411" s="307">
        <f>AA411+AB411+AC411+AD411</f>
        <v>36.651632142857139</v>
      </c>
      <c r="AF411" s="307">
        <f>Z411*0.01</f>
        <v>2.4033857142857142</v>
      </c>
      <c r="AG411" s="324"/>
      <c r="AH411" s="324"/>
      <c r="AI411" s="324"/>
      <c r="AJ411" s="324"/>
    </row>
    <row r="412" spans="1:36" ht="19.5">
      <c r="A412" s="21">
        <f>A411+1</f>
        <v>341</v>
      </c>
      <c r="B412" s="147" t="s">
        <v>581</v>
      </c>
      <c r="C412" s="364" t="s">
        <v>452</v>
      </c>
      <c r="D412" s="313" t="s">
        <v>79</v>
      </c>
      <c r="E412" s="314" t="s">
        <v>715</v>
      </c>
      <c r="F412" s="315">
        <f>795+30+50</f>
        <v>875</v>
      </c>
      <c r="G412" s="316">
        <f>F412*12</f>
        <v>10500</v>
      </c>
      <c r="H412" s="316">
        <v>60</v>
      </c>
      <c r="I412" s="323"/>
      <c r="J412" s="316">
        <f>F412</f>
        <v>875</v>
      </c>
      <c r="K412" s="316">
        <v>300</v>
      </c>
      <c r="L412" s="324"/>
      <c r="M412" s="307">
        <v>125</v>
      </c>
      <c r="N412" s="307">
        <f>F412*0.0775*13</f>
        <v>881.5625</v>
      </c>
      <c r="O412" s="307">
        <f>N412/13</f>
        <v>67.8125</v>
      </c>
      <c r="P412" s="307"/>
      <c r="Q412" s="324"/>
      <c r="R412" s="324"/>
      <c r="S412" s="307">
        <f>F412*0.075*13</f>
        <v>853.125</v>
      </c>
      <c r="T412" s="307">
        <f>S412/13</f>
        <v>65.625</v>
      </c>
      <c r="U412" s="324"/>
      <c r="V412" s="324"/>
      <c r="W412" s="307">
        <f>N412+Q412+S412+U412</f>
        <v>1734.6875</v>
      </c>
      <c r="X412" s="307">
        <f>F412*0.01*13</f>
        <v>113.75</v>
      </c>
      <c r="Y412" s="307">
        <f>X412/13</f>
        <v>8.75</v>
      </c>
      <c r="Z412" s="307">
        <f>F412/30/7*1.5*45</f>
        <v>281.25</v>
      </c>
      <c r="AA412" s="307">
        <f>Z412*0.0775</f>
        <v>21.796875</v>
      </c>
      <c r="AB412" s="307"/>
      <c r="AC412" s="307">
        <f>Z412*0.075</f>
        <v>21.09375</v>
      </c>
      <c r="AD412" s="307"/>
      <c r="AE412" s="307">
        <f>AA412+AB412+AC412+AD412</f>
        <v>42.890625</v>
      </c>
      <c r="AF412" s="307">
        <f>Z412*0.01</f>
        <v>2.8125</v>
      </c>
      <c r="AG412" s="325"/>
      <c r="AH412" s="325"/>
      <c r="AI412" s="325"/>
      <c r="AJ412" s="324"/>
    </row>
    <row r="413" spans="1:36" ht="16.5" customHeight="1">
      <c r="A413" s="21"/>
      <c r="B413" s="138" t="s">
        <v>582</v>
      </c>
      <c r="C413" s="364"/>
      <c r="D413" s="313"/>
      <c r="E413" s="314"/>
      <c r="F413" s="315"/>
      <c r="G413" s="316"/>
      <c r="H413" s="316"/>
      <c r="I413" s="323"/>
      <c r="J413" s="316"/>
      <c r="K413" s="316"/>
      <c r="L413" s="324"/>
      <c r="M413" s="307"/>
      <c r="N413" s="307"/>
      <c r="O413" s="321"/>
      <c r="P413" s="307"/>
      <c r="Q413" s="307"/>
      <c r="R413" s="307"/>
      <c r="S413" s="307"/>
      <c r="T413" s="307"/>
      <c r="U413" s="307"/>
      <c r="V413" s="307"/>
      <c r="W413" s="307"/>
      <c r="X413" s="307"/>
      <c r="Y413" s="307"/>
      <c r="Z413" s="307"/>
      <c r="AA413" s="307"/>
      <c r="AB413" s="307"/>
      <c r="AC413" s="307"/>
      <c r="AD413" s="307"/>
      <c r="AE413" s="307"/>
      <c r="AF413" s="307"/>
      <c r="AG413" s="324"/>
      <c r="AH413" s="324"/>
      <c r="AI413" s="324"/>
      <c r="AJ413" s="324"/>
    </row>
    <row r="414" spans="1:36" ht="19.5">
      <c r="A414" s="21">
        <f>A412+1</f>
        <v>342</v>
      </c>
      <c r="B414" s="161" t="s">
        <v>584</v>
      </c>
      <c r="C414" s="364" t="s">
        <v>452</v>
      </c>
      <c r="D414" s="313" t="s">
        <v>79</v>
      </c>
      <c r="E414" s="314" t="s">
        <v>715</v>
      </c>
      <c r="F414" s="315">
        <v>700</v>
      </c>
      <c r="G414" s="316">
        <f t="shared" ref="G414:G419" si="372">F414*12</f>
        <v>8400</v>
      </c>
      <c r="H414" s="316">
        <v>60</v>
      </c>
      <c r="I414" s="323"/>
      <c r="J414" s="316">
        <f t="shared" ref="J414:J419" si="373">F414</f>
        <v>700</v>
      </c>
      <c r="K414" s="316">
        <v>300</v>
      </c>
      <c r="L414" s="324"/>
      <c r="M414" s="307">
        <v>125</v>
      </c>
      <c r="N414" s="307">
        <f t="shared" ref="N414:N419" si="374">F414*0.0775*13</f>
        <v>705.25</v>
      </c>
      <c r="O414" s="307">
        <f>N414/13</f>
        <v>54.25</v>
      </c>
      <c r="P414" s="307"/>
      <c r="Q414" s="307"/>
      <c r="R414" s="307"/>
      <c r="S414" s="307">
        <f t="shared" ref="S414:S419" si="375">F414*0.075*13</f>
        <v>682.5</v>
      </c>
      <c r="T414" s="307">
        <f t="shared" ref="T414:T419" si="376">S414/13</f>
        <v>52.5</v>
      </c>
      <c r="U414" s="307"/>
      <c r="V414" s="307"/>
      <c r="W414" s="307">
        <f>N414+Q414+S414+U414</f>
        <v>1387.75</v>
      </c>
      <c r="X414" s="307">
        <f t="shared" ref="X414:X419" si="377">F414*0.01*13</f>
        <v>91</v>
      </c>
      <c r="Y414" s="307">
        <f t="shared" ref="Y414:Y419" si="378">X414/13</f>
        <v>7</v>
      </c>
      <c r="Z414" s="307">
        <f t="shared" ref="Z414:Z419" si="379">F414/30/7*1.5*45</f>
        <v>225</v>
      </c>
      <c r="AA414" s="307">
        <f t="shared" ref="AA414:AA419" si="380">Z414*0.0775</f>
        <v>17.4375</v>
      </c>
      <c r="AB414" s="307"/>
      <c r="AC414" s="307">
        <f t="shared" ref="AC414:AC419" si="381">Z414*0.075</f>
        <v>16.875</v>
      </c>
      <c r="AD414" s="307"/>
      <c r="AE414" s="307">
        <f>AA414+AB414+AC414+AD414+0.01</f>
        <v>34.322499999999998</v>
      </c>
      <c r="AF414" s="307">
        <f t="shared" ref="AF414:AF419" si="382">Z414*0.01</f>
        <v>2.25</v>
      </c>
      <c r="AG414" s="324"/>
      <c r="AH414" s="324"/>
      <c r="AI414" s="324"/>
      <c r="AJ414" s="324"/>
    </row>
    <row r="415" spans="1:36" ht="19.5">
      <c r="A415" s="21">
        <f t="shared" ref="A415:A419" si="383">A414+1</f>
        <v>343</v>
      </c>
      <c r="B415" s="161" t="s">
        <v>700</v>
      </c>
      <c r="C415" s="364" t="s">
        <v>452</v>
      </c>
      <c r="D415" s="313" t="s">
        <v>79</v>
      </c>
      <c r="E415" s="314" t="s">
        <v>715</v>
      </c>
      <c r="F415" s="315">
        <f>417+50+50</f>
        <v>517</v>
      </c>
      <c r="G415" s="316">
        <f t="shared" si="372"/>
        <v>6204</v>
      </c>
      <c r="H415" s="316">
        <v>60</v>
      </c>
      <c r="I415" s="323"/>
      <c r="J415" s="316">
        <f t="shared" si="373"/>
        <v>517</v>
      </c>
      <c r="K415" s="316">
        <v>300</v>
      </c>
      <c r="L415" s="324"/>
      <c r="M415" s="307">
        <v>125</v>
      </c>
      <c r="N415" s="307">
        <f t="shared" si="374"/>
        <v>520.87750000000005</v>
      </c>
      <c r="O415" s="307"/>
      <c r="P415" s="307">
        <f>N415/13</f>
        <v>40.067500000000003</v>
      </c>
      <c r="Q415" s="307"/>
      <c r="R415" s="307"/>
      <c r="S415" s="307">
        <f t="shared" si="375"/>
        <v>504.07499999999999</v>
      </c>
      <c r="T415" s="307">
        <f t="shared" si="376"/>
        <v>38.774999999999999</v>
      </c>
      <c r="U415" s="307"/>
      <c r="V415" s="307"/>
      <c r="W415" s="307">
        <f>N415+Q415+S415+U415</f>
        <v>1024.9525000000001</v>
      </c>
      <c r="X415" s="307">
        <f t="shared" si="377"/>
        <v>67.209999999999994</v>
      </c>
      <c r="Y415" s="307">
        <f t="shared" si="378"/>
        <v>5.17</v>
      </c>
      <c r="Z415" s="307">
        <f t="shared" si="379"/>
        <v>166.17857142857144</v>
      </c>
      <c r="AA415" s="307">
        <f t="shared" si="380"/>
        <v>12.878839285714287</v>
      </c>
      <c r="AB415" s="307"/>
      <c r="AC415" s="307">
        <f t="shared" si="381"/>
        <v>12.463392857142859</v>
      </c>
      <c r="AD415" s="307"/>
      <c r="AE415" s="307">
        <f>AA415+AB415+AC415+AD415</f>
        <v>25.342232142857146</v>
      </c>
      <c r="AF415" s="307">
        <f t="shared" si="382"/>
        <v>1.6617857142857144</v>
      </c>
      <c r="AG415" s="324"/>
      <c r="AH415" s="324"/>
      <c r="AI415" s="324"/>
      <c r="AJ415" s="324"/>
    </row>
    <row r="416" spans="1:36" ht="19.5">
      <c r="A416" s="21">
        <f t="shared" si="383"/>
        <v>344</v>
      </c>
      <c r="B416" s="161" t="s">
        <v>588</v>
      </c>
      <c r="C416" s="364" t="s">
        <v>452</v>
      </c>
      <c r="D416" s="313" t="s">
        <v>79</v>
      </c>
      <c r="E416" s="314" t="s">
        <v>715</v>
      </c>
      <c r="F416" s="315">
        <f>554+30+50+50</f>
        <v>684</v>
      </c>
      <c r="G416" s="316">
        <f t="shared" si="372"/>
        <v>8208</v>
      </c>
      <c r="H416" s="316">
        <v>60</v>
      </c>
      <c r="I416" s="323"/>
      <c r="J416" s="316">
        <f t="shared" si="373"/>
        <v>684</v>
      </c>
      <c r="K416" s="316">
        <v>300</v>
      </c>
      <c r="L416" s="324"/>
      <c r="M416" s="307">
        <v>125</v>
      </c>
      <c r="N416" s="307">
        <f t="shared" si="374"/>
        <v>689.13</v>
      </c>
      <c r="O416" s="307"/>
      <c r="P416" s="307">
        <f>N416/13</f>
        <v>53.01</v>
      </c>
      <c r="Q416" s="307"/>
      <c r="R416" s="307"/>
      <c r="S416" s="307">
        <f t="shared" si="375"/>
        <v>666.9</v>
      </c>
      <c r="T416" s="307">
        <f t="shared" si="376"/>
        <v>51.3</v>
      </c>
      <c r="U416" s="307"/>
      <c r="V416" s="307"/>
      <c r="W416" s="307">
        <f>N416+Q416+S416+U416</f>
        <v>1356.03</v>
      </c>
      <c r="X416" s="307">
        <f t="shared" si="377"/>
        <v>88.92</v>
      </c>
      <c r="Y416" s="307">
        <f t="shared" si="378"/>
        <v>6.84</v>
      </c>
      <c r="Z416" s="307">
        <f t="shared" si="379"/>
        <v>219.85714285714289</v>
      </c>
      <c r="AA416" s="307">
        <f t="shared" si="380"/>
        <v>17.038928571428574</v>
      </c>
      <c r="AB416" s="307"/>
      <c r="AC416" s="307">
        <f t="shared" si="381"/>
        <v>16.489285714285717</v>
      </c>
      <c r="AD416" s="307"/>
      <c r="AE416" s="307">
        <f>AA416+AB416+AC416+AD416-0.01</f>
        <v>33.518214285714294</v>
      </c>
      <c r="AF416" s="307">
        <f t="shared" si="382"/>
        <v>2.1985714285714288</v>
      </c>
      <c r="AG416" s="324"/>
      <c r="AH416" s="324"/>
      <c r="AI416" s="324"/>
      <c r="AJ416" s="324"/>
    </row>
    <row r="417" spans="1:36" ht="19.5">
      <c r="A417" s="21">
        <f t="shared" si="383"/>
        <v>345</v>
      </c>
      <c r="B417" s="161" t="s">
        <v>590</v>
      </c>
      <c r="C417" s="364" t="s">
        <v>452</v>
      </c>
      <c r="D417" s="313" t="s">
        <v>79</v>
      </c>
      <c r="E417" s="314" t="s">
        <v>715</v>
      </c>
      <c r="F417" s="315">
        <v>500</v>
      </c>
      <c r="G417" s="316">
        <f t="shared" si="372"/>
        <v>6000</v>
      </c>
      <c r="H417" s="316">
        <v>60</v>
      </c>
      <c r="I417" s="323"/>
      <c r="J417" s="316">
        <f t="shared" si="373"/>
        <v>500</v>
      </c>
      <c r="K417" s="316">
        <v>300</v>
      </c>
      <c r="L417" s="324"/>
      <c r="M417" s="307"/>
      <c r="N417" s="307">
        <f t="shared" si="374"/>
        <v>503.75</v>
      </c>
      <c r="O417" s="307">
        <f>N417/13</f>
        <v>38.75</v>
      </c>
      <c r="P417" s="307"/>
      <c r="Q417" s="307"/>
      <c r="R417" s="307"/>
      <c r="S417" s="307">
        <f t="shared" si="375"/>
        <v>487.5</v>
      </c>
      <c r="T417" s="307">
        <f t="shared" si="376"/>
        <v>37.5</v>
      </c>
      <c r="U417" s="307"/>
      <c r="V417" s="307"/>
      <c r="W417" s="307">
        <f>N417+Q417+S417+U417</f>
        <v>991.25</v>
      </c>
      <c r="X417" s="307">
        <f t="shared" si="377"/>
        <v>65</v>
      </c>
      <c r="Y417" s="307">
        <f t="shared" si="378"/>
        <v>5</v>
      </c>
      <c r="Z417" s="307">
        <f t="shared" si="379"/>
        <v>160.71428571428569</v>
      </c>
      <c r="AA417" s="307">
        <f t="shared" si="380"/>
        <v>12.455357142857141</v>
      </c>
      <c r="AB417" s="307"/>
      <c r="AC417" s="307">
        <f t="shared" si="381"/>
        <v>12.053571428571427</v>
      </c>
      <c r="AD417" s="307"/>
      <c r="AE417" s="307">
        <f>AA417+AB417+AC417+AD417</f>
        <v>24.508928571428569</v>
      </c>
      <c r="AF417" s="307">
        <f t="shared" si="382"/>
        <v>1.607142857142857</v>
      </c>
      <c r="AG417" s="324"/>
      <c r="AH417" s="324"/>
      <c r="AI417" s="324"/>
      <c r="AJ417" s="324"/>
    </row>
    <row r="418" spans="1:36" ht="19.5">
      <c r="A418" s="21">
        <f t="shared" si="383"/>
        <v>346</v>
      </c>
      <c r="B418" s="161" t="s">
        <v>717</v>
      </c>
      <c r="C418" s="364" t="s">
        <v>452</v>
      </c>
      <c r="D418" s="313" t="s">
        <v>79</v>
      </c>
      <c r="E418" s="314" t="s">
        <v>715</v>
      </c>
      <c r="F418" s="315">
        <f>467+30+50+50</f>
        <v>597</v>
      </c>
      <c r="G418" s="316">
        <f t="shared" si="372"/>
        <v>7164</v>
      </c>
      <c r="H418" s="316">
        <v>60</v>
      </c>
      <c r="I418" s="323"/>
      <c r="J418" s="316">
        <f t="shared" si="373"/>
        <v>597</v>
      </c>
      <c r="K418" s="316">
        <v>300</v>
      </c>
      <c r="L418" s="324"/>
      <c r="M418" s="307">
        <v>125</v>
      </c>
      <c r="N418" s="307">
        <f t="shared" si="374"/>
        <v>601.47749999999996</v>
      </c>
      <c r="O418" s="307">
        <f>N418/13</f>
        <v>46.267499999999998</v>
      </c>
      <c r="P418" s="307"/>
      <c r="Q418" s="307"/>
      <c r="R418" s="307"/>
      <c r="S418" s="307">
        <f t="shared" si="375"/>
        <v>582.07499999999993</v>
      </c>
      <c r="T418" s="307">
        <f t="shared" si="376"/>
        <v>44.774999999999991</v>
      </c>
      <c r="U418" s="307"/>
      <c r="V418" s="307"/>
      <c r="W418" s="307">
        <f>N418+Q418+S418+U418</f>
        <v>1183.5524999999998</v>
      </c>
      <c r="X418" s="307">
        <f t="shared" si="377"/>
        <v>77.61</v>
      </c>
      <c r="Y418" s="307">
        <f t="shared" si="378"/>
        <v>5.97</v>
      </c>
      <c r="Z418" s="307">
        <f t="shared" si="379"/>
        <v>191.89285714285714</v>
      </c>
      <c r="AA418" s="307">
        <f t="shared" si="380"/>
        <v>14.871696428571429</v>
      </c>
      <c r="AB418" s="307"/>
      <c r="AC418" s="307">
        <f t="shared" si="381"/>
        <v>14.391964285714284</v>
      </c>
      <c r="AD418" s="307"/>
      <c r="AE418" s="307">
        <f>AA418+AB418+AC418+AD418+0.01</f>
        <v>29.273660714285715</v>
      </c>
      <c r="AF418" s="307">
        <f t="shared" si="382"/>
        <v>1.9189285714285713</v>
      </c>
      <c r="AG418" s="325"/>
      <c r="AH418" s="325"/>
      <c r="AI418" s="324"/>
      <c r="AJ418" s="324"/>
    </row>
    <row r="419" spans="1:36" ht="18">
      <c r="A419" s="21">
        <f t="shared" si="383"/>
        <v>347</v>
      </c>
      <c r="B419" s="348" t="s">
        <v>743</v>
      </c>
      <c r="C419" s="374" t="s">
        <v>452</v>
      </c>
      <c r="D419" s="157" t="s">
        <v>762</v>
      </c>
      <c r="E419" s="314" t="s">
        <v>715</v>
      </c>
      <c r="F419" s="315">
        <v>417</v>
      </c>
      <c r="G419" s="316">
        <f t="shared" si="372"/>
        <v>5004</v>
      </c>
      <c r="H419" s="316">
        <v>60</v>
      </c>
      <c r="I419" s="323"/>
      <c r="J419" s="316">
        <f t="shared" si="373"/>
        <v>417</v>
      </c>
      <c r="K419" s="316">
        <v>300</v>
      </c>
      <c r="L419" s="324"/>
      <c r="M419" s="307"/>
      <c r="N419" s="307">
        <f t="shared" si="374"/>
        <v>420.12750000000005</v>
      </c>
      <c r="O419" s="307">
        <f>N419/13</f>
        <v>32.317500000000003</v>
      </c>
      <c r="P419" s="307"/>
      <c r="Q419" s="307"/>
      <c r="R419" s="307"/>
      <c r="S419" s="307">
        <f t="shared" si="375"/>
        <v>406.57499999999999</v>
      </c>
      <c r="T419" s="307">
        <f t="shared" si="376"/>
        <v>31.274999999999999</v>
      </c>
      <c r="U419" s="307"/>
      <c r="V419" s="307"/>
      <c r="W419" s="307">
        <f>N419+Q419+S419+U419+0.01</f>
        <v>826.71250000000009</v>
      </c>
      <c r="X419" s="307">
        <f t="shared" si="377"/>
        <v>54.21</v>
      </c>
      <c r="Y419" s="307">
        <f t="shared" si="378"/>
        <v>4.17</v>
      </c>
      <c r="Z419" s="307">
        <f t="shared" si="379"/>
        <v>134.03571428571428</v>
      </c>
      <c r="AA419" s="307">
        <f t="shared" si="380"/>
        <v>10.387767857142856</v>
      </c>
      <c r="AB419" s="307"/>
      <c r="AC419" s="307">
        <f t="shared" si="381"/>
        <v>10.05267857142857</v>
      </c>
      <c r="AD419" s="307"/>
      <c r="AE419" s="307">
        <f>AA419+AB419+AC419+AD419</f>
        <v>20.440446428571427</v>
      </c>
      <c r="AF419" s="307">
        <f t="shared" si="382"/>
        <v>1.3403571428571428</v>
      </c>
      <c r="AG419" s="325"/>
      <c r="AH419" s="325"/>
      <c r="AI419" s="324"/>
      <c r="AJ419" s="324"/>
    </row>
    <row r="420" spans="1:36" ht="15.75" customHeight="1">
      <c r="A420" s="21"/>
      <c r="B420" s="138" t="s">
        <v>591</v>
      </c>
      <c r="C420" s="375"/>
      <c r="D420" s="313"/>
      <c r="E420" s="314"/>
      <c r="F420" s="319">
        <f t="shared" ref="F420:M420" si="384">SUM(F311:F419)</f>
        <v>62484.500000000007</v>
      </c>
      <c r="G420" s="319">
        <f t="shared" si="384"/>
        <v>749813.99999999988</v>
      </c>
      <c r="H420" s="319">
        <f t="shared" si="384"/>
        <v>6180</v>
      </c>
      <c r="I420" s="319">
        <f t="shared" si="384"/>
        <v>0</v>
      </c>
      <c r="J420" s="319">
        <f t="shared" si="384"/>
        <v>62484.500000000007</v>
      </c>
      <c r="K420" s="319">
        <f t="shared" si="384"/>
        <v>30900</v>
      </c>
      <c r="L420" s="319">
        <f t="shared" si="384"/>
        <v>0</v>
      </c>
      <c r="M420" s="319">
        <f t="shared" si="384"/>
        <v>8375</v>
      </c>
      <c r="N420" s="319">
        <f>SUM(N311:N419)+0.16</f>
        <v>59270.004725000028</v>
      </c>
      <c r="O420" s="319">
        <f>SUM(O311:O419)+0.05</f>
        <v>1945.6115500000005</v>
      </c>
      <c r="P420" s="319">
        <f>SUM(P311:P419)+0.1</f>
        <v>2613.7572750000018</v>
      </c>
      <c r="Q420" s="319">
        <f>SUM(Q311:Q419)</f>
        <v>0</v>
      </c>
      <c r="R420" s="319">
        <f>SUM(R311:R419)</f>
        <v>0</v>
      </c>
      <c r="S420" s="319">
        <f>SUM(S311:S419)+0.39</f>
        <v>60922.777499999938</v>
      </c>
      <c r="T420" s="319">
        <f>SUM(T311:T419)</f>
        <v>4686.3375000000042</v>
      </c>
      <c r="U420" s="319">
        <f>SUM(U311:U419)</f>
        <v>2851.5786000000003</v>
      </c>
      <c r="V420" s="319">
        <f>SUM(V311:V419)</f>
        <v>237.63154999999998</v>
      </c>
      <c r="W420" s="319">
        <f>SUM(W311:W419)+0.04</f>
        <v>123044.16082499996</v>
      </c>
      <c r="X420" s="319">
        <f>SUM(X311:X419)-0.03</f>
        <v>8122.9550000000008</v>
      </c>
      <c r="Y420" s="319">
        <f>SUM(Y311:Y419)</f>
        <v>624.84500000000071</v>
      </c>
      <c r="Z420" s="319">
        <f>SUM(Z311:Z419)+0.08</f>
        <v>20084.383571428563</v>
      </c>
      <c r="AA420" s="319">
        <f>SUM(AA311:AA419)-0.01</f>
        <v>1465.4531937499999</v>
      </c>
      <c r="AB420" s="319">
        <f>SUM(AB311:AB419)</f>
        <v>0</v>
      </c>
      <c r="AC420" s="319">
        <f>SUM(AC311:AC419)-0.04</f>
        <v>1506.2827678571423</v>
      </c>
      <c r="AD420" s="319">
        <f>SUM(AD311:AD419)+0.01</f>
        <v>70.516064285714279</v>
      </c>
      <c r="AE420" s="319">
        <f>SUM(AE311:AE419)-0.17</f>
        <v>3042.4920258928564</v>
      </c>
      <c r="AF420" s="319">
        <f>SUM(AF311:AF419)+0.04</f>
        <v>200.8830357142856</v>
      </c>
      <c r="AG420" s="319"/>
      <c r="AH420" s="319"/>
      <c r="AI420" s="319"/>
      <c r="AJ420" s="319"/>
    </row>
    <row r="421" spans="1:36" ht="19.5">
      <c r="A421" s="21">
        <f>A419+1</f>
        <v>348</v>
      </c>
      <c r="B421" s="147" t="s">
        <v>593</v>
      </c>
      <c r="C421" s="364" t="s">
        <v>594</v>
      </c>
      <c r="D421" s="157" t="s">
        <v>79</v>
      </c>
      <c r="E421" s="314" t="s">
        <v>715</v>
      </c>
      <c r="F421" s="315">
        <v>1000</v>
      </c>
      <c r="G421" s="316">
        <f t="shared" ref="G421:G438" si="385">F421*12</f>
        <v>12000</v>
      </c>
      <c r="H421" s="316">
        <v>60</v>
      </c>
      <c r="I421" s="323"/>
      <c r="J421" s="316">
        <f t="shared" ref="J421:J438" si="386">F421</f>
        <v>1000</v>
      </c>
      <c r="K421" s="316">
        <v>300</v>
      </c>
      <c r="L421" s="324"/>
      <c r="M421" s="307">
        <v>125</v>
      </c>
      <c r="N421" s="307">
        <f t="shared" ref="N421:N438" si="387">F421*0.0775*13</f>
        <v>1007.5</v>
      </c>
      <c r="O421" s="307" t="s">
        <v>595</v>
      </c>
      <c r="P421" s="307">
        <f>N421/13</f>
        <v>77.5</v>
      </c>
      <c r="Q421" s="307"/>
      <c r="R421" s="307"/>
      <c r="S421" s="307">
        <f t="shared" ref="S421:S438" si="388">F421*0.075*13</f>
        <v>975</v>
      </c>
      <c r="T421" s="307">
        <f>S421/13</f>
        <v>75</v>
      </c>
      <c r="U421" s="307"/>
      <c r="V421" s="307"/>
      <c r="W421" s="307">
        <f t="shared" ref="W421:W429" si="389">N421+Q421+S421+U421</f>
        <v>1982.5</v>
      </c>
      <c r="X421" s="307">
        <f t="shared" ref="X421:X438" si="390">F421*0.01*13</f>
        <v>130</v>
      </c>
      <c r="Y421" s="307">
        <f>X421/13</f>
        <v>10</v>
      </c>
      <c r="Z421" s="307">
        <f>F421/30/7*1.5*45</f>
        <v>321.42857142857139</v>
      </c>
      <c r="AA421" s="307">
        <f>Z421*0.0775</f>
        <v>24.910714285714281</v>
      </c>
      <c r="AB421" s="307"/>
      <c r="AC421" s="307">
        <f>Z421*0.075</f>
        <v>24.107142857142854</v>
      </c>
      <c r="AD421" s="307"/>
      <c r="AE421" s="307">
        <f>AA421+AB421+AC421+AD421</f>
        <v>49.017857142857139</v>
      </c>
      <c r="AF421" s="307">
        <f>Z421*0.01</f>
        <v>3.214285714285714</v>
      </c>
      <c r="AG421" s="324"/>
      <c r="AH421" s="324"/>
      <c r="AI421" s="324"/>
      <c r="AJ421" s="324"/>
    </row>
    <row r="422" spans="1:36" ht="19.5">
      <c r="A422" s="21">
        <f>A421+1</f>
        <v>349</v>
      </c>
      <c r="B422" s="349" t="s">
        <v>326</v>
      </c>
      <c r="C422" s="364" t="s">
        <v>594</v>
      </c>
      <c r="D422" s="157" t="s">
        <v>79</v>
      </c>
      <c r="E422" s="314" t="s">
        <v>715</v>
      </c>
      <c r="F422" s="315">
        <f>650+50+50</f>
        <v>750</v>
      </c>
      <c r="G422" s="316">
        <f t="shared" si="385"/>
        <v>9000</v>
      </c>
      <c r="H422" s="316">
        <v>60</v>
      </c>
      <c r="I422" s="323"/>
      <c r="J422" s="316">
        <f t="shared" si="386"/>
        <v>750</v>
      </c>
      <c r="K422" s="316">
        <v>300</v>
      </c>
      <c r="L422" s="324"/>
      <c r="M422" s="307">
        <v>125</v>
      </c>
      <c r="N422" s="307">
        <f t="shared" si="387"/>
        <v>755.625</v>
      </c>
      <c r="O422" s="307">
        <f>N422/13</f>
        <v>58.125</v>
      </c>
      <c r="P422" s="307"/>
      <c r="Q422" s="307"/>
      <c r="R422" s="307"/>
      <c r="S422" s="307">
        <f t="shared" si="388"/>
        <v>731.25</v>
      </c>
      <c r="T422" s="307">
        <f>S422/13</f>
        <v>56.25</v>
      </c>
      <c r="U422" s="307"/>
      <c r="V422" s="307"/>
      <c r="W422" s="307">
        <f t="shared" si="389"/>
        <v>1486.875</v>
      </c>
      <c r="X422" s="307">
        <f t="shared" si="390"/>
        <v>97.5</v>
      </c>
      <c r="Y422" s="307">
        <f>X422/13</f>
        <v>7.5</v>
      </c>
      <c r="Z422" s="307">
        <f>F422/30/7*1.5*45</f>
        <v>241.07142857142858</v>
      </c>
      <c r="AA422" s="307">
        <f>Z422*0.0775</f>
        <v>18.683035714285715</v>
      </c>
      <c r="AB422" s="307"/>
      <c r="AC422" s="307">
        <f>Z422*0.075</f>
        <v>18.080357142857142</v>
      </c>
      <c r="AD422" s="307"/>
      <c r="AE422" s="307">
        <f>AA422+AB422+AC422+AD422+0.01</f>
        <v>36.773392857142859</v>
      </c>
      <c r="AF422" s="307">
        <f>Z422*0.01</f>
        <v>2.410714285714286</v>
      </c>
      <c r="AG422" s="324"/>
      <c r="AH422" s="324"/>
      <c r="AI422" s="324"/>
      <c r="AJ422" s="324"/>
    </row>
    <row r="423" spans="1:36" ht="19.5">
      <c r="A423" s="21">
        <f t="shared" ref="A423:A438" si="391">A422+1</f>
        <v>350</v>
      </c>
      <c r="B423" s="231" t="s">
        <v>110</v>
      </c>
      <c r="C423" s="364" t="s">
        <v>594</v>
      </c>
      <c r="D423" s="313" t="s">
        <v>79</v>
      </c>
      <c r="E423" s="314" t="s">
        <v>715</v>
      </c>
      <c r="F423" s="315">
        <f>554+30+50+50</f>
        <v>684</v>
      </c>
      <c r="G423" s="316">
        <f t="shared" si="385"/>
        <v>8208</v>
      </c>
      <c r="H423" s="316">
        <v>60</v>
      </c>
      <c r="I423" s="323"/>
      <c r="J423" s="316">
        <f t="shared" si="386"/>
        <v>684</v>
      </c>
      <c r="K423" s="316">
        <v>300</v>
      </c>
      <c r="L423" s="324"/>
      <c r="M423" s="307">
        <v>125</v>
      </c>
      <c r="N423" s="307">
        <f t="shared" si="387"/>
        <v>689.13</v>
      </c>
      <c r="O423" s="307">
        <f>N423/13</f>
        <v>53.01</v>
      </c>
      <c r="P423" s="307"/>
      <c r="Q423" s="307"/>
      <c r="R423" s="307"/>
      <c r="S423" s="307">
        <f t="shared" si="388"/>
        <v>666.9</v>
      </c>
      <c r="T423" s="307">
        <f t="shared" ref="T423:T438" si="392">S423/13</f>
        <v>51.3</v>
      </c>
      <c r="U423" s="307"/>
      <c r="V423" s="307"/>
      <c r="W423" s="307">
        <f t="shared" si="389"/>
        <v>1356.03</v>
      </c>
      <c r="X423" s="307">
        <f t="shared" si="390"/>
        <v>88.92</v>
      </c>
      <c r="Y423" s="307">
        <f t="shared" ref="Y423:Y438" si="393">X423/13</f>
        <v>6.84</v>
      </c>
      <c r="Z423" s="307">
        <f>F423/30/7*1.5*45</f>
        <v>219.85714285714289</v>
      </c>
      <c r="AA423" s="307">
        <f>Z423*0.0775</f>
        <v>17.038928571428574</v>
      </c>
      <c r="AB423" s="307"/>
      <c r="AC423" s="307">
        <f>Z423*0.075</f>
        <v>16.489285714285717</v>
      </c>
      <c r="AD423" s="307"/>
      <c r="AE423" s="307">
        <f>AA423+AB423+AC423+AD423-0.01</f>
        <v>33.518214285714294</v>
      </c>
      <c r="AF423" s="307">
        <f>Z423*0.01</f>
        <v>2.1985714285714288</v>
      </c>
      <c r="AG423" s="324"/>
      <c r="AH423" s="324"/>
      <c r="AI423" s="324"/>
      <c r="AJ423" s="324"/>
    </row>
    <row r="424" spans="1:36" ht="18">
      <c r="A424" s="21">
        <f t="shared" si="391"/>
        <v>351</v>
      </c>
      <c r="B424" s="150" t="s">
        <v>744</v>
      </c>
      <c r="C424" s="364" t="s">
        <v>594</v>
      </c>
      <c r="D424" s="313" t="s">
        <v>759</v>
      </c>
      <c r="E424" s="314" t="s">
        <v>715</v>
      </c>
      <c r="F424" s="315">
        <v>550</v>
      </c>
      <c r="G424" s="316">
        <f>F424*12</f>
        <v>6600</v>
      </c>
      <c r="H424" s="316">
        <v>60</v>
      </c>
      <c r="I424" s="323"/>
      <c r="J424" s="316">
        <f>F424</f>
        <v>550</v>
      </c>
      <c r="K424" s="316">
        <v>300</v>
      </c>
      <c r="L424" s="324"/>
      <c r="M424" s="307"/>
      <c r="N424" s="307">
        <f t="shared" si="387"/>
        <v>554.125</v>
      </c>
      <c r="O424" s="307">
        <f>N424/13</f>
        <v>42.625</v>
      </c>
      <c r="P424" s="307"/>
      <c r="Q424" s="307"/>
      <c r="R424" s="307"/>
      <c r="S424" s="307">
        <f t="shared" si="388"/>
        <v>536.25</v>
      </c>
      <c r="T424" s="307">
        <f>S424/13</f>
        <v>41.25</v>
      </c>
      <c r="U424" s="307"/>
      <c r="V424" s="307"/>
      <c r="W424" s="307">
        <f>N424+Q424+S424+U424</f>
        <v>1090.375</v>
      </c>
      <c r="X424" s="307">
        <f t="shared" si="390"/>
        <v>71.5</v>
      </c>
      <c r="Y424" s="307">
        <f>X424/13</f>
        <v>5.5</v>
      </c>
      <c r="Z424" s="307">
        <f>F424/30/7*1.5*45-0.01</f>
        <v>176.77571428571432</v>
      </c>
      <c r="AA424" s="307">
        <f>Z424*0.0775</f>
        <v>13.700117857142859</v>
      </c>
      <c r="AB424" s="307"/>
      <c r="AC424" s="307">
        <f>Z424*0.075</f>
        <v>13.258178571428573</v>
      </c>
      <c r="AD424" s="307"/>
      <c r="AE424" s="307">
        <f>AA424+AB424+AC424+AD424</f>
        <v>26.95829642857143</v>
      </c>
      <c r="AF424" s="307">
        <f>Z424*0.01</f>
        <v>1.7677571428571432</v>
      </c>
      <c r="AG424" s="324"/>
      <c r="AH424" s="324"/>
      <c r="AI424" s="324"/>
      <c r="AJ424" s="324"/>
    </row>
    <row r="425" spans="1:36" ht="19.5">
      <c r="A425" s="21">
        <f>A424+1</f>
        <v>352</v>
      </c>
      <c r="B425" s="161" t="s">
        <v>143</v>
      </c>
      <c r="C425" s="364" t="s">
        <v>594</v>
      </c>
      <c r="D425" s="313" t="s">
        <v>79</v>
      </c>
      <c r="E425" s="314" t="s">
        <v>715</v>
      </c>
      <c r="F425" s="315">
        <f>467+30+100+50+50</f>
        <v>697</v>
      </c>
      <c r="G425" s="316">
        <f t="shared" si="385"/>
        <v>8364</v>
      </c>
      <c r="H425" s="316">
        <v>60</v>
      </c>
      <c r="I425" s="323"/>
      <c r="J425" s="316">
        <f t="shared" si="386"/>
        <v>697</v>
      </c>
      <c r="K425" s="316">
        <v>300</v>
      </c>
      <c r="L425" s="324"/>
      <c r="M425" s="307">
        <v>125</v>
      </c>
      <c r="N425" s="307">
        <f t="shared" si="387"/>
        <v>702.22749999999996</v>
      </c>
      <c r="O425" s="321"/>
      <c r="P425" s="307">
        <f>N425/13</f>
        <v>54.017499999999998</v>
      </c>
      <c r="Q425" s="324"/>
      <c r="R425" s="324"/>
      <c r="S425" s="307">
        <f t="shared" si="388"/>
        <v>679.57499999999993</v>
      </c>
      <c r="T425" s="307">
        <f>S425/13</f>
        <v>52.274999999999991</v>
      </c>
      <c r="U425" s="324"/>
      <c r="V425" s="324"/>
      <c r="W425" s="307">
        <f>N425+Q425+S425+U425</f>
        <v>1381.8024999999998</v>
      </c>
      <c r="X425" s="307">
        <f t="shared" si="390"/>
        <v>90.61</v>
      </c>
      <c r="Y425" s="307">
        <f>X425/13</f>
        <v>6.97</v>
      </c>
      <c r="Z425" s="307">
        <f>F425/30/7*1.5*45-0.01</f>
        <v>224.02571428571429</v>
      </c>
      <c r="AA425" s="307">
        <f t="shared" ref="AA425:AA426" si="394">Z425*0.0775</f>
        <v>17.361992857142859</v>
      </c>
      <c r="AB425" s="307"/>
      <c r="AC425" s="307">
        <f t="shared" ref="AC425:AC426" si="395">Z425*0.075</f>
        <v>16.801928571428572</v>
      </c>
      <c r="AD425" s="307"/>
      <c r="AE425" s="307">
        <f>AA425+AB425+AC425+AD425+0.01</f>
        <v>34.173921428571425</v>
      </c>
      <c r="AF425" s="307">
        <f t="shared" ref="AF425:AF426" si="396">Z425*0.01</f>
        <v>2.2402571428571427</v>
      </c>
      <c r="AG425" s="325"/>
      <c r="AH425" s="325"/>
      <c r="AI425" s="325"/>
      <c r="AJ425" s="324"/>
    </row>
    <row r="426" spans="1:36" ht="19.5">
      <c r="A426" s="21">
        <f t="shared" si="391"/>
        <v>353</v>
      </c>
      <c r="B426" s="161" t="s">
        <v>708</v>
      </c>
      <c r="C426" s="364" t="s">
        <v>594</v>
      </c>
      <c r="D426" s="313" t="s">
        <v>79</v>
      </c>
      <c r="E426" s="314" t="s">
        <v>715</v>
      </c>
      <c r="F426" s="315">
        <f>467+30+50+50</f>
        <v>597</v>
      </c>
      <c r="G426" s="316">
        <f t="shared" si="385"/>
        <v>7164</v>
      </c>
      <c r="H426" s="316">
        <v>60</v>
      </c>
      <c r="I426" s="323"/>
      <c r="J426" s="316">
        <f t="shared" si="386"/>
        <v>597</v>
      </c>
      <c r="K426" s="316">
        <v>300</v>
      </c>
      <c r="L426" s="324"/>
      <c r="M426" s="307">
        <v>125</v>
      </c>
      <c r="N426" s="307">
        <f t="shared" si="387"/>
        <v>601.47749999999996</v>
      </c>
      <c r="O426" s="321"/>
      <c r="P426" s="307">
        <f>N426/13</f>
        <v>46.267499999999998</v>
      </c>
      <c r="Q426" s="307"/>
      <c r="R426" s="307"/>
      <c r="S426" s="307">
        <f t="shared" si="388"/>
        <v>582.07499999999993</v>
      </c>
      <c r="T426" s="307">
        <f>S426/13</f>
        <v>44.774999999999991</v>
      </c>
      <c r="U426" s="307"/>
      <c r="V426" s="307"/>
      <c r="W426" s="307">
        <f>N426+Q426+S426+U426</f>
        <v>1183.5524999999998</v>
      </c>
      <c r="X426" s="307">
        <f t="shared" si="390"/>
        <v>77.61</v>
      </c>
      <c r="Y426" s="307">
        <f>X426/13</f>
        <v>5.97</v>
      </c>
      <c r="Z426" s="307">
        <f>F426/30/7*1.5*45-0.01</f>
        <v>191.88285714285715</v>
      </c>
      <c r="AA426" s="307">
        <f t="shared" si="394"/>
        <v>14.870921428571428</v>
      </c>
      <c r="AB426" s="307"/>
      <c r="AC426" s="307">
        <f t="shared" si="395"/>
        <v>14.391214285714286</v>
      </c>
      <c r="AD426" s="307"/>
      <c r="AE426" s="307">
        <f>AA426+AB426+AC426+AD426+0.01</f>
        <v>29.272135714285714</v>
      </c>
      <c r="AF426" s="307">
        <f t="shared" si="396"/>
        <v>1.9188285714285715</v>
      </c>
      <c r="AG426" s="325"/>
      <c r="AH426" s="325"/>
      <c r="AI426" s="324"/>
      <c r="AJ426" s="324"/>
    </row>
    <row r="427" spans="1:36" ht="19.5">
      <c r="A427" s="21">
        <f t="shared" si="391"/>
        <v>354</v>
      </c>
      <c r="B427" s="161" t="s">
        <v>600</v>
      </c>
      <c r="C427" s="364" t="s">
        <v>594</v>
      </c>
      <c r="D427" s="313" t="s">
        <v>79</v>
      </c>
      <c r="E427" s="314" t="s">
        <v>715</v>
      </c>
      <c r="F427" s="315">
        <f>612+30+50+50</f>
        <v>742</v>
      </c>
      <c r="G427" s="316">
        <f t="shared" si="385"/>
        <v>8904</v>
      </c>
      <c r="H427" s="316">
        <v>60</v>
      </c>
      <c r="I427" s="323"/>
      <c r="J427" s="316">
        <f t="shared" si="386"/>
        <v>742</v>
      </c>
      <c r="K427" s="316">
        <v>300</v>
      </c>
      <c r="L427" s="324"/>
      <c r="M427" s="307"/>
      <c r="N427" s="307">
        <f t="shared" si="387"/>
        <v>747.56500000000005</v>
      </c>
      <c r="O427" s="307">
        <f>N427/13</f>
        <v>57.505000000000003</v>
      </c>
      <c r="P427" s="307"/>
      <c r="Q427" s="324"/>
      <c r="R427" s="324"/>
      <c r="S427" s="307">
        <f t="shared" si="388"/>
        <v>723.44999999999993</v>
      </c>
      <c r="T427" s="307">
        <f>S427/13</f>
        <v>55.649999999999991</v>
      </c>
      <c r="U427" s="324"/>
      <c r="V427" s="324"/>
      <c r="W427" s="307">
        <f>N427+Q427+S427+U427</f>
        <v>1471.0149999999999</v>
      </c>
      <c r="X427" s="307">
        <f t="shared" si="390"/>
        <v>96.46</v>
      </c>
      <c r="Y427" s="307">
        <f>X427/13</f>
        <v>7.42</v>
      </c>
      <c r="Z427" s="307">
        <f t="shared" ref="Z427:Z438" si="397">F427/30/7*1.5*45</f>
        <v>238.50000000000003</v>
      </c>
      <c r="AA427" s="307">
        <f>Z427*0.0775</f>
        <v>18.483750000000001</v>
      </c>
      <c r="AB427" s="307"/>
      <c r="AC427" s="307">
        <f>Z427*0.075</f>
        <v>17.887500000000003</v>
      </c>
      <c r="AD427" s="307"/>
      <c r="AE427" s="307">
        <f>AA427+AB427+AC427+AD427</f>
        <v>36.371250000000003</v>
      </c>
      <c r="AF427" s="307">
        <f>Z427*0.01</f>
        <v>2.3850000000000002</v>
      </c>
      <c r="AG427" s="325"/>
      <c r="AH427" s="325"/>
      <c r="AI427" s="325"/>
      <c r="AJ427" s="324"/>
    </row>
    <row r="428" spans="1:36" ht="19.5">
      <c r="A428" s="21">
        <f t="shared" si="391"/>
        <v>355</v>
      </c>
      <c r="B428" s="161" t="s">
        <v>600</v>
      </c>
      <c r="C428" s="364" t="s">
        <v>594</v>
      </c>
      <c r="D428" s="313" t="s">
        <v>79</v>
      </c>
      <c r="E428" s="314" t="s">
        <v>715</v>
      </c>
      <c r="F428" s="315">
        <f>554+30+50+50</f>
        <v>684</v>
      </c>
      <c r="G428" s="316">
        <f t="shared" si="385"/>
        <v>8208</v>
      </c>
      <c r="H428" s="316">
        <v>60</v>
      </c>
      <c r="I428" s="323"/>
      <c r="J428" s="316">
        <f t="shared" si="386"/>
        <v>684</v>
      </c>
      <c r="K428" s="316">
        <v>300</v>
      </c>
      <c r="L428" s="324"/>
      <c r="M428" s="307">
        <v>125</v>
      </c>
      <c r="N428" s="307">
        <f t="shared" si="387"/>
        <v>689.13</v>
      </c>
      <c r="O428" s="321"/>
      <c r="P428" s="307">
        <f>N428/13</f>
        <v>53.01</v>
      </c>
      <c r="Q428" s="307"/>
      <c r="R428" s="307"/>
      <c r="S428" s="307">
        <f t="shared" si="388"/>
        <v>666.9</v>
      </c>
      <c r="T428" s="307">
        <f t="shared" si="392"/>
        <v>51.3</v>
      </c>
      <c r="U428" s="307"/>
      <c r="V428" s="307"/>
      <c r="W428" s="307">
        <f t="shared" si="389"/>
        <v>1356.03</v>
      </c>
      <c r="X428" s="307">
        <f t="shared" si="390"/>
        <v>88.92</v>
      </c>
      <c r="Y428" s="307">
        <f t="shared" si="393"/>
        <v>6.84</v>
      </c>
      <c r="Z428" s="307">
        <f t="shared" si="397"/>
        <v>219.85714285714289</v>
      </c>
      <c r="AA428" s="307">
        <f>Z428*0.0775</f>
        <v>17.038928571428574</v>
      </c>
      <c r="AB428" s="307"/>
      <c r="AC428" s="307">
        <f>Z428*0.075</f>
        <v>16.489285714285717</v>
      </c>
      <c r="AD428" s="307"/>
      <c r="AE428" s="307">
        <f>AA428+AB428+AC428+AD428-0.01</f>
        <v>33.518214285714294</v>
      </c>
      <c r="AF428" s="307">
        <f>Z428*0.01</f>
        <v>2.1985714285714288</v>
      </c>
      <c r="AG428" s="324"/>
      <c r="AH428" s="324"/>
      <c r="AI428" s="324"/>
      <c r="AJ428" s="324"/>
    </row>
    <row r="429" spans="1:36" ht="19.5">
      <c r="A429" s="21">
        <f t="shared" si="391"/>
        <v>356</v>
      </c>
      <c r="B429" s="161" t="s">
        <v>600</v>
      </c>
      <c r="C429" s="364" t="s">
        <v>594</v>
      </c>
      <c r="D429" s="313" t="s">
        <v>79</v>
      </c>
      <c r="E429" s="314" t="s">
        <v>715</v>
      </c>
      <c r="F429" s="315">
        <f>554+30+50+50</f>
        <v>684</v>
      </c>
      <c r="G429" s="316">
        <f t="shared" si="385"/>
        <v>8208</v>
      </c>
      <c r="H429" s="316">
        <v>60</v>
      </c>
      <c r="I429" s="323"/>
      <c r="J429" s="316">
        <f t="shared" si="386"/>
        <v>684</v>
      </c>
      <c r="K429" s="316">
        <v>300</v>
      </c>
      <c r="L429" s="324"/>
      <c r="M429" s="307">
        <v>125</v>
      </c>
      <c r="N429" s="307">
        <f t="shared" si="387"/>
        <v>689.13</v>
      </c>
      <c r="O429" s="307">
        <f t="shared" ref="O429:O433" si="398">N429/13</f>
        <v>53.01</v>
      </c>
      <c r="P429" s="307"/>
      <c r="Q429" s="307"/>
      <c r="R429" s="307"/>
      <c r="S429" s="307">
        <f t="shared" si="388"/>
        <v>666.9</v>
      </c>
      <c r="T429" s="307">
        <f t="shared" si="392"/>
        <v>51.3</v>
      </c>
      <c r="U429" s="307"/>
      <c r="V429" s="307"/>
      <c r="W429" s="307">
        <f t="shared" si="389"/>
        <v>1356.03</v>
      </c>
      <c r="X429" s="307">
        <f t="shared" si="390"/>
        <v>88.92</v>
      </c>
      <c r="Y429" s="307">
        <f t="shared" si="393"/>
        <v>6.84</v>
      </c>
      <c r="Z429" s="307">
        <f t="shared" si="397"/>
        <v>219.85714285714289</v>
      </c>
      <c r="AA429" s="307">
        <f>Z429*0.0775</f>
        <v>17.038928571428574</v>
      </c>
      <c r="AB429" s="307"/>
      <c r="AC429" s="307">
        <f>Z429*0.075</f>
        <v>16.489285714285717</v>
      </c>
      <c r="AD429" s="307"/>
      <c r="AE429" s="307">
        <f>AA429+AB429+AC429+AD429-0.01</f>
        <v>33.518214285714294</v>
      </c>
      <c r="AF429" s="307">
        <f>Z429*0.01</f>
        <v>2.1985714285714288</v>
      </c>
      <c r="AG429" s="324"/>
      <c r="AH429" s="324"/>
      <c r="AI429" s="324"/>
      <c r="AJ429" s="324"/>
    </row>
    <row r="430" spans="1:36" ht="19.5">
      <c r="A430" s="21">
        <f t="shared" si="391"/>
        <v>357</v>
      </c>
      <c r="B430" s="161" t="s">
        <v>604</v>
      </c>
      <c r="C430" s="364" t="s">
        <v>594</v>
      </c>
      <c r="D430" s="313" t="s">
        <v>79</v>
      </c>
      <c r="E430" s="314" t="s">
        <v>715</v>
      </c>
      <c r="F430" s="315">
        <f>467+50</f>
        <v>517</v>
      </c>
      <c r="G430" s="316">
        <f>F430*12</f>
        <v>6204</v>
      </c>
      <c r="H430" s="316">
        <v>60</v>
      </c>
      <c r="I430" s="323"/>
      <c r="J430" s="316">
        <f t="shared" si="386"/>
        <v>517</v>
      </c>
      <c r="K430" s="316">
        <v>300</v>
      </c>
      <c r="L430" s="324"/>
      <c r="M430" s="307"/>
      <c r="N430" s="307">
        <f t="shared" si="387"/>
        <v>520.87750000000005</v>
      </c>
      <c r="O430" s="307"/>
      <c r="P430" s="307">
        <f>N430/13</f>
        <v>40.067500000000003</v>
      </c>
      <c r="Q430" s="324"/>
      <c r="R430" s="324"/>
      <c r="S430" s="307">
        <f t="shared" si="388"/>
        <v>504.07499999999999</v>
      </c>
      <c r="T430" s="307">
        <f>S430/13</f>
        <v>38.774999999999999</v>
      </c>
      <c r="U430" s="324"/>
      <c r="V430" s="324"/>
      <c r="W430" s="307">
        <f>N430+Q430+S430+U430</f>
        <v>1024.9525000000001</v>
      </c>
      <c r="X430" s="307">
        <f t="shared" si="390"/>
        <v>67.209999999999994</v>
      </c>
      <c r="Y430" s="307">
        <f>X430/13</f>
        <v>5.17</v>
      </c>
      <c r="Z430" s="307">
        <f t="shared" si="397"/>
        <v>166.17857142857144</v>
      </c>
      <c r="AA430" s="307">
        <f t="shared" ref="AA430:AA431" si="399">Z430*0.0775</f>
        <v>12.878839285714287</v>
      </c>
      <c r="AB430" s="307"/>
      <c r="AC430" s="307">
        <f t="shared" ref="AC430:AC431" si="400">Z430*0.075</f>
        <v>12.463392857142859</v>
      </c>
      <c r="AD430" s="307"/>
      <c r="AE430" s="307">
        <f>AA430+AB430+AC430+AD430</f>
        <v>25.342232142857146</v>
      </c>
      <c r="AF430" s="307">
        <f t="shared" ref="AF430:AF431" si="401">Z430*0.01</f>
        <v>1.6617857142857144</v>
      </c>
      <c r="AG430" s="325"/>
      <c r="AH430" s="325"/>
      <c r="AI430" s="325"/>
      <c r="AJ430" s="324"/>
    </row>
    <row r="431" spans="1:36" ht="19.5">
      <c r="A431" s="21">
        <f t="shared" si="391"/>
        <v>358</v>
      </c>
      <c r="B431" s="161" t="s">
        <v>606</v>
      </c>
      <c r="C431" s="364" t="s">
        <v>594</v>
      </c>
      <c r="D431" s="313" t="s">
        <v>79</v>
      </c>
      <c r="E431" s="314" t="s">
        <v>715</v>
      </c>
      <c r="F431" s="315">
        <f>417+50</f>
        <v>467</v>
      </c>
      <c r="G431" s="316">
        <f t="shared" ref="G431" si="402">F431*12</f>
        <v>5604</v>
      </c>
      <c r="H431" s="316">
        <v>60</v>
      </c>
      <c r="I431" s="323"/>
      <c r="J431" s="316">
        <f t="shared" si="386"/>
        <v>467</v>
      </c>
      <c r="K431" s="316">
        <v>300</v>
      </c>
      <c r="L431" s="324"/>
      <c r="M431" s="307">
        <v>125</v>
      </c>
      <c r="N431" s="307">
        <f t="shared" si="387"/>
        <v>470.50250000000005</v>
      </c>
      <c r="O431" s="307"/>
      <c r="P431" s="307">
        <f>N431/13</f>
        <v>36.192500000000003</v>
      </c>
      <c r="Q431" s="307"/>
      <c r="R431" s="307"/>
      <c r="S431" s="307">
        <f t="shared" si="388"/>
        <v>455.32499999999999</v>
      </c>
      <c r="T431" s="307">
        <f t="shared" ref="T431" si="403">S431/13</f>
        <v>35.024999999999999</v>
      </c>
      <c r="U431" s="307"/>
      <c r="V431" s="307"/>
      <c r="W431" s="307">
        <f>N431+Q431+S431+U431+0.01</f>
        <v>925.83750000000009</v>
      </c>
      <c r="X431" s="307">
        <f t="shared" si="390"/>
        <v>60.71</v>
      </c>
      <c r="Y431" s="307">
        <f t="shared" ref="Y431" si="404">X431/13</f>
        <v>4.67</v>
      </c>
      <c r="Z431" s="307">
        <f t="shared" si="397"/>
        <v>150.10714285714286</v>
      </c>
      <c r="AA431" s="307">
        <f t="shared" si="399"/>
        <v>11.633303571428572</v>
      </c>
      <c r="AB431" s="307"/>
      <c r="AC431" s="307">
        <f t="shared" si="400"/>
        <v>11.258035714285715</v>
      </c>
      <c r="AD431" s="307"/>
      <c r="AE431" s="307">
        <f>AA431+AB431+AC431+AD431</f>
        <v>22.891339285714288</v>
      </c>
      <c r="AF431" s="307">
        <f t="shared" si="401"/>
        <v>1.5010714285714286</v>
      </c>
      <c r="AG431" s="325"/>
      <c r="AH431" s="325"/>
      <c r="AI431" s="325"/>
      <c r="AJ431" s="324"/>
    </row>
    <row r="432" spans="1:36" ht="19.5">
      <c r="A432" s="21">
        <f t="shared" si="391"/>
        <v>359</v>
      </c>
      <c r="B432" s="161" t="s">
        <v>549</v>
      </c>
      <c r="C432" s="364" t="s">
        <v>594</v>
      </c>
      <c r="D432" s="313" t="s">
        <v>79</v>
      </c>
      <c r="E432" s="314" t="s">
        <v>715</v>
      </c>
      <c r="F432" s="315">
        <f>467+30+50+50</f>
        <v>597</v>
      </c>
      <c r="G432" s="316">
        <f>F432*12</f>
        <v>7164</v>
      </c>
      <c r="H432" s="316">
        <v>60</v>
      </c>
      <c r="I432" s="323"/>
      <c r="J432" s="316">
        <f t="shared" si="386"/>
        <v>597</v>
      </c>
      <c r="K432" s="316">
        <v>300</v>
      </c>
      <c r="L432" s="324"/>
      <c r="M432" s="307">
        <v>125</v>
      </c>
      <c r="N432" s="307">
        <f t="shared" si="387"/>
        <v>601.47749999999996</v>
      </c>
      <c r="O432" s="307">
        <f t="shared" si="398"/>
        <v>46.267499999999998</v>
      </c>
      <c r="P432" s="307"/>
      <c r="Q432" s="307"/>
      <c r="R432" s="307"/>
      <c r="S432" s="307">
        <f t="shared" si="388"/>
        <v>582.07499999999993</v>
      </c>
      <c r="T432" s="307">
        <f t="shared" si="392"/>
        <v>44.774999999999991</v>
      </c>
      <c r="U432" s="307"/>
      <c r="V432" s="307"/>
      <c r="W432" s="307">
        <f t="shared" ref="W432:W433" si="405">N432+Q432+S432+U432</f>
        <v>1183.5524999999998</v>
      </c>
      <c r="X432" s="307">
        <f t="shared" si="390"/>
        <v>77.61</v>
      </c>
      <c r="Y432" s="307">
        <f t="shared" si="393"/>
        <v>5.97</v>
      </c>
      <c r="Z432" s="307">
        <f t="shared" si="397"/>
        <v>191.89285714285714</v>
      </c>
      <c r="AA432" s="307">
        <f t="shared" ref="AA432:AA438" si="406">Z432*0.0775</f>
        <v>14.871696428571429</v>
      </c>
      <c r="AB432" s="307"/>
      <c r="AC432" s="307">
        <f t="shared" ref="AC432:AC438" si="407">Z432*0.075</f>
        <v>14.391964285714284</v>
      </c>
      <c r="AD432" s="307"/>
      <c r="AE432" s="307">
        <f>AA432+AB432+AC432+AD432+0.01</f>
        <v>29.273660714285715</v>
      </c>
      <c r="AF432" s="307">
        <f t="shared" ref="AF432:AF438" si="408">Z432*0.01</f>
        <v>1.9189285714285713</v>
      </c>
      <c r="AG432" s="324"/>
      <c r="AH432" s="324"/>
      <c r="AI432" s="324"/>
      <c r="AJ432" s="324"/>
    </row>
    <row r="433" spans="1:36" ht="19.5">
      <c r="A433" s="21">
        <f t="shared" si="391"/>
        <v>360</v>
      </c>
      <c r="B433" s="161" t="s">
        <v>549</v>
      </c>
      <c r="C433" s="364" t="s">
        <v>594</v>
      </c>
      <c r="D433" s="313" t="s">
        <v>79</v>
      </c>
      <c r="E433" s="314" t="s">
        <v>715</v>
      </c>
      <c r="F433" s="315">
        <f>467+30+50+50</f>
        <v>597</v>
      </c>
      <c r="G433" s="316">
        <f t="shared" si="385"/>
        <v>7164</v>
      </c>
      <c r="H433" s="316">
        <v>60</v>
      </c>
      <c r="I433" s="323"/>
      <c r="J433" s="316">
        <f t="shared" si="386"/>
        <v>597</v>
      </c>
      <c r="K433" s="316">
        <v>300</v>
      </c>
      <c r="L433" s="324"/>
      <c r="M433" s="307">
        <v>125</v>
      </c>
      <c r="N433" s="307">
        <f t="shared" si="387"/>
        <v>601.47749999999996</v>
      </c>
      <c r="O433" s="307">
        <f t="shared" si="398"/>
        <v>46.267499999999998</v>
      </c>
      <c r="P433" s="307"/>
      <c r="Q433" s="307"/>
      <c r="R433" s="307"/>
      <c r="S433" s="307">
        <f t="shared" si="388"/>
        <v>582.07499999999993</v>
      </c>
      <c r="T433" s="307">
        <f t="shared" si="392"/>
        <v>44.774999999999991</v>
      </c>
      <c r="U433" s="307"/>
      <c r="V433" s="307"/>
      <c r="W433" s="307">
        <f t="shared" si="405"/>
        <v>1183.5524999999998</v>
      </c>
      <c r="X433" s="307">
        <f t="shared" si="390"/>
        <v>77.61</v>
      </c>
      <c r="Y433" s="307">
        <f t="shared" si="393"/>
        <v>5.97</v>
      </c>
      <c r="Z433" s="307">
        <f t="shared" si="397"/>
        <v>191.89285714285714</v>
      </c>
      <c r="AA433" s="307">
        <f t="shared" si="406"/>
        <v>14.871696428571429</v>
      </c>
      <c r="AB433" s="307"/>
      <c r="AC433" s="307">
        <f t="shared" si="407"/>
        <v>14.391964285714284</v>
      </c>
      <c r="AD433" s="307"/>
      <c r="AE433" s="307">
        <f>AA433+AB433+AC433+AD433+0.01</f>
        <v>29.273660714285715</v>
      </c>
      <c r="AF433" s="307">
        <f t="shared" si="408"/>
        <v>1.9189285714285713</v>
      </c>
      <c r="AG433" s="324"/>
      <c r="AH433" s="324"/>
      <c r="AI433" s="324"/>
      <c r="AJ433" s="324"/>
    </row>
    <row r="434" spans="1:36" ht="19.5">
      <c r="A434" s="21">
        <f t="shared" si="391"/>
        <v>361</v>
      </c>
      <c r="B434" s="161" t="s">
        <v>549</v>
      </c>
      <c r="C434" s="364" t="s">
        <v>594</v>
      </c>
      <c r="D434" s="313" t="s">
        <v>79</v>
      </c>
      <c r="E434" s="314" t="s">
        <v>715</v>
      </c>
      <c r="F434" s="315">
        <f>467+30+50+50</f>
        <v>597</v>
      </c>
      <c r="G434" s="316">
        <f>F434*12</f>
        <v>7164</v>
      </c>
      <c r="H434" s="316">
        <v>60</v>
      </c>
      <c r="I434" s="323"/>
      <c r="J434" s="316">
        <f t="shared" si="386"/>
        <v>597</v>
      </c>
      <c r="K434" s="316">
        <v>300</v>
      </c>
      <c r="L434" s="324"/>
      <c r="M434" s="307">
        <v>125</v>
      </c>
      <c r="N434" s="307">
        <f t="shared" si="387"/>
        <v>601.47749999999996</v>
      </c>
      <c r="O434" s="307">
        <f>N434/13</f>
        <v>46.267499999999998</v>
      </c>
      <c r="P434" s="307"/>
      <c r="Q434" s="307"/>
      <c r="R434" s="307"/>
      <c r="S434" s="307">
        <f t="shared" si="388"/>
        <v>582.07499999999993</v>
      </c>
      <c r="T434" s="307">
        <f>S434/13</f>
        <v>44.774999999999991</v>
      </c>
      <c r="U434" s="307"/>
      <c r="V434" s="307"/>
      <c r="W434" s="307">
        <f>N434+Q434+S434+U434</f>
        <v>1183.5524999999998</v>
      </c>
      <c r="X434" s="307">
        <f t="shared" si="390"/>
        <v>77.61</v>
      </c>
      <c r="Y434" s="307">
        <f>X434/13</f>
        <v>5.97</v>
      </c>
      <c r="Z434" s="307">
        <f t="shared" si="397"/>
        <v>191.89285714285714</v>
      </c>
      <c r="AA434" s="307">
        <f t="shared" si="406"/>
        <v>14.871696428571429</v>
      </c>
      <c r="AB434" s="307"/>
      <c r="AC434" s="307">
        <f t="shared" si="407"/>
        <v>14.391964285714284</v>
      </c>
      <c r="AD434" s="307"/>
      <c r="AE434" s="307">
        <f>AA434+AB434+AC434+AD434+0.01</f>
        <v>29.273660714285715</v>
      </c>
      <c r="AF434" s="307">
        <f t="shared" si="408"/>
        <v>1.9189285714285713</v>
      </c>
      <c r="AG434" s="324"/>
      <c r="AH434" s="324"/>
      <c r="AI434" s="324"/>
      <c r="AJ434" s="324"/>
    </row>
    <row r="435" spans="1:36" ht="19.5">
      <c r="A435" s="21">
        <f t="shared" si="391"/>
        <v>362</v>
      </c>
      <c r="B435" s="161" t="s">
        <v>551</v>
      </c>
      <c r="C435" s="364" t="s">
        <v>594</v>
      </c>
      <c r="D435" s="313" t="s">
        <v>79</v>
      </c>
      <c r="E435" s="314" t="s">
        <v>715</v>
      </c>
      <c r="F435" s="315">
        <f>417+30+50+50</f>
        <v>547</v>
      </c>
      <c r="G435" s="316">
        <f>F435*12</f>
        <v>6564</v>
      </c>
      <c r="H435" s="316">
        <v>60</v>
      </c>
      <c r="I435" s="323"/>
      <c r="J435" s="316">
        <f t="shared" si="386"/>
        <v>547</v>
      </c>
      <c r="K435" s="316">
        <v>300</v>
      </c>
      <c r="L435" s="324"/>
      <c r="M435" s="307">
        <v>125</v>
      </c>
      <c r="N435" s="307">
        <f t="shared" si="387"/>
        <v>551.10249999999996</v>
      </c>
      <c r="O435" s="307">
        <f>N435/13</f>
        <v>42.392499999999998</v>
      </c>
      <c r="P435" s="307"/>
      <c r="Q435" s="307"/>
      <c r="R435" s="307"/>
      <c r="S435" s="307">
        <f t="shared" si="388"/>
        <v>533.32499999999993</v>
      </c>
      <c r="T435" s="307">
        <f>S435/13</f>
        <v>41.024999999999991</v>
      </c>
      <c r="U435" s="307"/>
      <c r="V435" s="307"/>
      <c r="W435" s="307">
        <f>N435+Q435+S435+U435+0.01</f>
        <v>1084.4374999999998</v>
      </c>
      <c r="X435" s="307">
        <f t="shared" si="390"/>
        <v>71.11</v>
      </c>
      <c r="Y435" s="307">
        <f>X435/13</f>
        <v>5.47</v>
      </c>
      <c r="Z435" s="307">
        <f t="shared" si="397"/>
        <v>175.82142857142858</v>
      </c>
      <c r="AA435" s="307">
        <f t="shared" si="406"/>
        <v>13.626160714285716</v>
      </c>
      <c r="AB435" s="307"/>
      <c r="AC435" s="307">
        <f t="shared" si="407"/>
        <v>13.186607142857143</v>
      </c>
      <c r="AD435" s="307"/>
      <c r="AE435" s="307">
        <f>AA435+AB435+AC435+AD435</f>
        <v>26.812767857142859</v>
      </c>
      <c r="AF435" s="307">
        <f t="shared" si="408"/>
        <v>1.758214285714286</v>
      </c>
      <c r="AG435" s="324"/>
      <c r="AH435" s="324"/>
      <c r="AI435" s="324"/>
      <c r="AJ435" s="324"/>
    </row>
    <row r="436" spans="1:36" ht="19.5">
      <c r="A436" s="21">
        <f t="shared" si="391"/>
        <v>363</v>
      </c>
      <c r="B436" s="147" t="s">
        <v>554</v>
      </c>
      <c r="C436" s="364" t="s">
        <v>594</v>
      </c>
      <c r="D436" s="313" t="s">
        <v>79</v>
      </c>
      <c r="E436" s="314" t="s">
        <v>715</v>
      </c>
      <c r="F436" s="315">
        <f>417+50</f>
        <v>467</v>
      </c>
      <c r="G436" s="316">
        <f>F436*12</f>
        <v>5604</v>
      </c>
      <c r="H436" s="316">
        <v>60</v>
      </c>
      <c r="I436" s="323"/>
      <c r="J436" s="316">
        <f t="shared" si="386"/>
        <v>467</v>
      </c>
      <c r="K436" s="316">
        <v>300</v>
      </c>
      <c r="L436" s="324"/>
      <c r="M436" s="307">
        <v>125</v>
      </c>
      <c r="N436" s="307">
        <f t="shared" si="387"/>
        <v>470.50250000000005</v>
      </c>
      <c r="O436" s="307"/>
      <c r="P436" s="307">
        <f>N436/13</f>
        <v>36.192500000000003</v>
      </c>
      <c r="Q436" s="307"/>
      <c r="R436" s="307"/>
      <c r="S436" s="307">
        <f t="shared" si="388"/>
        <v>455.32499999999999</v>
      </c>
      <c r="T436" s="307">
        <f>S436/13</f>
        <v>35.024999999999999</v>
      </c>
      <c r="U436" s="307"/>
      <c r="V436" s="307"/>
      <c r="W436" s="307">
        <f>N436+Q436+S436+U436+0.01</f>
        <v>925.83750000000009</v>
      </c>
      <c r="X436" s="307">
        <f t="shared" si="390"/>
        <v>60.71</v>
      </c>
      <c r="Y436" s="307">
        <f>X436/13</f>
        <v>4.67</v>
      </c>
      <c r="Z436" s="307">
        <f t="shared" si="397"/>
        <v>150.10714285714286</v>
      </c>
      <c r="AA436" s="307">
        <f t="shared" si="406"/>
        <v>11.633303571428572</v>
      </c>
      <c r="AB436" s="307"/>
      <c r="AC436" s="307">
        <f t="shared" si="407"/>
        <v>11.258035714285715</v>
      </c>
      <c r="AD436" s="307"/>
      <c r="AE436" s="307">
        <f>AA436+AB436+AC436+AD436</f>
        <v>22.891339285714288</v>
      </c>
      <c r="AF436" s="307">
        <f t="shared" si="408"/>
        <v>1.5010714285714286</v>
      </c>
      <c r="AG436" s="324"/>
      <c r="AH436" s="324"/>
      <c r="AI436" s="324"/>
      <c r="AJ436" s="324"/>
    </row>
    <row r="437" spans="1:36" ht="18">
      <c r="A437" s="21">
        <f t="shared" si="391"/>
        <v>364</v>
      </c>
      <c r="B437" s="182" t="s">
        <v>554</v>
      </c>
      <c r="C437" s="364" t="s">
        <v>594</v>
      </c>
      <c r="D437" s="313" t="s">
        <v>762</v>
      </c>
      <c r="E437" s="314" t="s">
        <v>715</v>
      </c>
      <c r="F437" s="315">
        <v>417</v>
      </c>
      <c r="G437" s="316">
        <f t="shared" ref="G437" si="409">F437*12</f>
        <v>5004</v>
      </c>
      <c r="H437" s="316">
        <v>60</v>
      </c>
      <c r="I437" s="323"/>
      <c r="J437" s="316">
        <f t="shared" si="386"/>
        <v>417</v>
      </c>
      <c r="K437" s="316">
        <v>300</v>
      </c>
      <c r="L437" s="324"/>
      <c r="M437" s="307"/>
      <c r="N437" s="307">
        <f t="shared" si="387"/>
        <v>420.12750000000005</v>
      </c>
      <c r="O437" s="321"/>
      <c r="P437" s="307">
        <f>N437/13</f>
        <v>32.317500000000003</v>
      </c>
      <c r="Q437" s="307"/>
      <c r="R437" s="307"/>
      <c r="S437" s="307">
        <f t="shared" si="388"/>
        <v>406.57499999999999</v>
      </c>
      <c r="T437" s="307">
        <f t="shared" ref="T437" si="410">S437/13</f>
        <v>31.274999999999999</v>
      </c>
      <c r="U437" s="307"/>
      <c r="V437" s="307"/>
      <c r="W437" s="307">
        <f t="shared" ref="W437" si="411">N437+Q437+S437+U437+0.01</f>
        <v>826.71250000000009</v>
      </c>
      <c r="X437" s="307">
        <f t="shared" si="390"/>
        <v>54.21</v>
      </c>
      <c r="Y437" s="307">
        <f t="shared" ref="Y437" si="412">X437/13</f>
        <v>4.17</v>
      </c>
      <c r="Z437" s="307">
        <f t="shared" si="397"/>
        <v>134.03571428571428</v>
      </c>
      <c r="AA437" s="307">
        <f t="shared" si="406"/>
        <v>10.387767857142856</v>
      </c>
      <c r="AB437" s="307"/>
      <c r="AC437" s="307">
        <f t="shared" si="407"/>
        <v>10.05267857142857</v>
      </c>
      <c r="AD437" s="307"/>
      <c r="AE437" s="307">
        <f>AA437+AB437+AC437+AD437</f>
        <v>20.440446428571427</v>
      </c>
      <c r="AF437" s="307">
        <f t="shared" si="408"/>
        <v>1.3403571428571428</v>
      </c>
      <c r="AG437" s="324"/>
      <c r="AH437" s="324"/>
      <c r="AI437" s="324"/>
      <c r="AJ437" s="324"/>
    </row>
    <row r="438" spans="1:36" ht="18">
      <c r="A438" s="21">
        <f t="shared" si="391"/>
        <v>365</v>
      </c>
      <c r="B438" s="182" t="s">
        <v>554</v>
      </c>
      <c r="C438" s="364" t="s">
        <v>594</v>
      </c>
      <c r="D438" s="313" t="s">
        <v>762</v>
      </c>
      <c r="E438" s="314" t="s">
        <v>715</v>
      </c>
      <c r="F438" s="315">
        <v>417</v>
      </c>
      <c r="G438" s="316">
        <f t="shared" si="385"/>
        <v>5004</v>
      </c>
      <c r="H438" s="316">
        <v>60</v>
      </c>
      <c r="I438" s="323"/>
      <c r="J438" s="316">
        <f t="shared" si="386"/>
        <v>417</v>
      </c>
      <c r="K438" s="316">
        <v>300</v>
      </c>
      <c r="L438" s="324"/>
      <c r="M438" s="307"/>
      <c r="N438" s="307">
        <f t="shared" si="387"/>
        <v>420.12750000000005</v>
      </c>
      <c r="O438" s="321"/>
      <c r="P438" s="307">
        <f>N438/13</f>
        <v>32.317500000000003</v>
      </c>
      <c r="Q438" s="307"/>
      <c r="R438" s="307"/>
      <c r="S438" s="307">
        <f t="shared" si="388"/>
        <v>406.57499999999999</v>
      </c>
      <c r="T438" s="307">
        <f t="shared" si="392"/>
        <v>31.274999999999999</v>
      </c>
      <c r="U438" s="307"/>
      <c r="V438" s="307"/>
      <c r="W438" s="307">
        <f>N438+Q438+S438+U438+0.01</f>
        <v>826.71250000000009</v>
      </c>
      <c r="X438" s="307">
        <f t="shared" si="390"/>
        <v>54.21</v>
      </c>
      <c r="Y438" s="307">
        <f t="shared" si="393"/>
        <v>4.17</v>
      </c>
      <c r="Z438" s="307">
        <f t="shared" si="397"/>
        <v>134.03571428571428</v>
      </c>
      <c r="AA438" s="307">
        <f t="shared" si="406"/>
        <v>10.387767857142856</v>
      </c>
      <c r="AB438" s="307"/>
      <c r="AC438" s="307">
        <f t="shared" si="407"/>
        <v>10.05267857142857</v>
      </c>
      <c r="AD438" s="307"/>
      <c r="AE438" s="307">
        <f>AA438+AB438+AC438+AD438</f>
        <v>20.440446428571427</v>
      </c>
      <c r="AF438" s="307">
        <f t="shared" si="408"/>
        <v>1.3403571428571428</v>
      </c>
      <c r="AG438" s="324"/>
      <c r="AH438" s="324"/>
      <c r="AI438" s="324"/>
      <c r="AJ438" s="324"/>
    </row>
    <row r="439" spans="1:36">
      <c r="A439" s="49"/>
      <c r="B439" s="350" t="s">
        <v>615</v>
      </c>
      <c r="C439" s="21"/>
      <c r="D439" s="351"/>
      <c r="E439" s="18"/>
      <c r="F439" s="320">
        <f>SUM(F421:F438)</f>
        <v>11011</v>
      </c>
      <c r="G439" s="320">
        <f>SUM(G421:G438)</f>
        <v>132132</v>
      </c>
      <c r="H439" s="320">
        <f>SUM(H421:H438)</f>
        <v>1080</v>
      </c>
      <c r="I439" s="320">
        <f>SUM(I397:I438)</f>
        <v>0</v>
      </c>
      <c r="J439" s="320">
        <f>SUM(J421:J438)</f>
        <v>11011</v>
      </c>
      <c r="K439" s="320">
        <f>SUM(K421:K438)</f>
        <v>5400</v>
      </c>
      <c r="L439" s="312">
        <f>SUM(L397:L438)</f>
        <v>0</v>
      </c>
      <c r="M439" s="312">
        <f>SUM(M421:M438)</f>
        <v>1625</v>
      </c>
      <c r="N439" s="312">
        <f>SUM(N421:N438)+0.03</f>
        <v>11093.612500000003</v>
      </c>
      <c r="O439" s="312">
        <f>SUM(O421:O438)+0.02</f>
        <v>445.4899999999999</v>
      </c>
      <c r="P439" s="312">
        <f>SUM(P421:P438)+0.01</f>
        <v>407.89249999999993</v>
      </c>
      <c r="Q439" s="312">
        <f>SUM(Q421:Q438)</f>
        <v>0</v>
      </c>
      <c r="R439" s="312">
        <f>SUM(R421:R438)</f>
        <v>0</v>
      </c>
      <c r="S439" s="312">
        <f>SUM(S421:S438)+0.05</f>
        <v>10735.775000000001</v>
      </c>
      <c r="T439" s="312">
        <f>SUM(T421:T438)+0.05</f>
        <v>825.87499999999977</v>
      </c>
      <c r="U439" s="312">
        <f>SUM(U421:U438)</f>
        <v>0</v>
      </c>
      <c r="V439" s="312">
        <f>SUM(V421:V438)</f>
        <v>0</v>
      </c>
      <c r="W439" s="312">
        <f>SUM(W421:W438)+0.02</f>
        <v>21829.377499999999</v>
      </c>
      <c r="X439" s="312">
        <f>SUM(X421:X438)</f>
        <v>1431.4299999999998</v>
      </c>
      <c r="Y439" s="312">
        <f>SUM(Y421:Y438)</f>
        <v>110.11000000000001</v>
      </c>
      <c r="Z439" s="312">
        <f>SUM(Z421:Z438)+0.02</f>
        <v>3539.2400000000002</v>
      </c>
      <c r="AA439" s="312">
        <f>SUM(AA421:AA438)-0.01</f>
        <v>274.27955000000003</v>
      </c>
      <c r="AB439" s="312">
        <f>SUM(AB421:AB438)</f>
        <v>0</v>
      </c>
      <c r="AC439" s="312">
        <f>SUM(AC421:AC438)</f>
        <v>265.44150000000002</v>
      </c>
      <c r="AD439" s="312">
        <f>SUM(AD421:AD438)</f>
        <v>0</v>
      </c>
      <c r="AE439" s="312">
        <f>SUM(AE421:AE438)-0.01</f>
        <v>539.75105000000008</v>
      </c>
      <c r="AF439" s="312">
        <f>SUM(AF421:AF438)+0.01</f>
        <v>35.402200000000001</v>
      </c>
      <c r="AG439" s="312"/>
      <c r="AH439" s="312"/>
      <c r="AI439" s="312"/>
      <c r="AJ439" s="312"/>
    </row>
    <row r="440" spans="1:36" ht="15.75" thickBot="1">
      <c r="A440" s="130"/>
      <c r="B440" s="473" t="s">
        <v>765</v>
      </c>
      <c r="C440" s="474"/>
      <c r="D440" s="474"/>
      <c r="E440" s="475"/>
      <c r="F440" s="352">
        <f t="shared" ref="F440:O440" si="413">SUM(F439,F420,F310,F307)</f>
        <v>76329.5</v>
      </c>
      <c r="G440" s="352">
        <f t="shared" si="413"/>
        <v>915953.99999999988</v>
      </c>
      <c r="H440" s="352">
        <f t="shared" si="413"/>
        <v>7560</v>
      </c>
      <c r="I440" s="352">
        <f t="shared" si="413"/>
        <v>0</v>
      </c>
      <c r="J440" s="352">
        <f t="shared" si="413"/>
        <v>76329.5</v>
      </c>
      <c r="K440" s="352">
        <f t="shared" si="413"/>
        <v>37800</v>
      </c>
      <c r="L440" s="352">
        <f t="shared" si="413"/>
        <v>0</v>
      </c>
      <c r="M440" s="352">
        <f t="shared" si="413"/>
        <v>10000</v>
      </c>
      <c r="N440" s="352">
        <f t="shared" si="413"/>
        <v>73218.872225000028</v>
      </c>
      <c r="O440" s="352">
        <f t="shared" si="413"/>
        <v>2391.1015500000003</v>
      </c>
      <c r="P440" s="352">
        <f>SUM(P439,P420,P310,P307)+0.01</f>
        <v>3241.2947750000021</v>
      </c>
      <c r="Q440" s="352">
        <f>SUM(Q439,Q420,Q310,Q307)</f>
        <v>0</v>
      </c>
      <c r="R440" s="352">
        <f>SUM(R439,R420,R310,R307)</f>
        <v>0</v>
      </c>
      <c r="S440" s="352">
        <f>SUM(S439,S420,S310,S307)+0.01</f>
        <v>74421.722499999931</v>
      </c>
      <c r="T440" s="352">
        <f t="shared" ref="T440:Z440" si="414">SUM(T439,T420,T310,T307)</f>
        <v>5724.7725000000046</v>
      </c>
      <c r="U440" s="352">
        <f t="shared" si="414"/>
        <v>2851.5786000000003</v>
      </c>
      <c r="V440" s="352">
        <f t="shared" si="414"/>
        <v>237.63154999999998</v>
      </c>
      <c r="W440" s="352">
        <f t="shared" si="414"/>
        <v>150491.96332499993</v>
      </c>
      <c r="X440" s="352">
        <f t="shared" si="414"/>
        <v>9922.8050000000003</v>
      </c>
      <c r="Y440" s="352">
        <f t="shared" si="414"/>
        <v>763.29500000000075</v>
      </c>
      <c r="Z440" s="352">
        <f t="shared" si="414"/>
        <v>23623.623571428565</v>
      </c>
      <c r="AA440" s="352">
        <f>SUM(AA439,AA420,AA310,AA307)</f>
        <v>1739.7327437499998</v>
      </c>
      <c r="AB440" s="352">
        <f>SUM(AB439,AB420,AB310,AB307)</f>
        <v>0</v>
      </c>
      <c r="AC440" s="352">
        <f>SUM(AC439,AC420,AC310,AC307)</f>
        <v>1771.7242678571424</v>
      </c>
      <c r="AD440" s="352">
        <f t="shared" ref="AD440:AJ440" si="415">SUM(AD439,AD420,AD310,AD307)</f>
        <v>70.516064285714279</v>
      </c>
      <c r="AE440" s="352">
        <f t="shared" si="415"/>
        <v>3582.2430758928567</v>
      </c>
      <c r="AF440" s="352">
        <f>SUM(AF439,AF420,AF310,AF307)-0.01</f>
        <v>236.2752357142856</v>
      </c>
      <c r="AG440" s="352">
        <f t="shared" si="415"/>
        <v>0</v>
      </c>
      <c r="AH440" s="352">
        <f t="shared" si="415"/>
        <v>0</v>
      </c>
      <c r="AI440" s="352">
        <f t="shared" si="415"/>
        <v>0</v>
      </c>
      <c r="AJ440" s="352">
        <f t="shared" si="415"/>
        <v>0</v>
      </c>
    </row>
    <row r="441" spans="1:36" ht="15.75" thickBot="1">
      <c r="A441" s="129"/>
      <c r="B441" s="466" t="s">
        <v>617</v>
      </c>
      <c r="C441" s="467"/>
      <c r="D441" s="467"/>
      <c r="E441" s="468"/>
      <c r="F441" s="353">
        <f>SUM(F440,F303,F282,F211,F150)</f>
        <v>241971.97</v>
      </c>
      <c r="G441" s="353">
        <f t="shared" ref="G441:L441" si="416">SUM(G440,G303,G282,G211,G150)</f>
        <v>2903663.6399999997</v>
      </c>
      <c r="H441" s="353">
        <f t="shared" si="416"/>
        <v>21900</v>
      </c>
      <c r="I441" s="353">
        <f t="shared" si="416"/>
        <v>162000</v>
      </c>
      <c r="J441" s="353">
        <f t="shared" si="416"/>
        <v>244971.97</v>
      </c>
      <c r="K441" s="353">
        <f t="shared" si="416"/>
        <v>109500</v>
      </c>
      <c r="L441" s="353">
        <f t="shared" si="416"/>
        <v>13950</v>
      </c>
      <c r="M441" s="353">
        <f>SUM(M440,M303,M282,M211,M150)</f>
        <v>22000</v>
      </c>
      <c r="N441" s="353">
        <f>SUM(N440,N303,N282,N211,N150)-0.01</f>
        <v>262238.82672500005</v>
      </c>
      <c r="O441" s="353">
        <f t="shared" ref="O441:AJ441" si="417">SUM(O440,O303,O282,O211,O150)</f>
        <v>9028.479800000001</v>
      </c>
      <c r="P441" s="387">
        <f>SUM(P440,P303,P282,P211,P150)-0.01</f>
        <v>11144.123025000003</v>
      </c>
      <c r="Q441" s="353">
        <f t="shared" si="417"/>
        <v>679.57499999999993</v>
      </c>
      <c r="R441" s="353">
        <f t="shared" si="417"/>
        <v>56.631249999999994</v>
      </c>
      <c r="S441" s="353">
        <f t="shared" si="417"/>
        <v>238037.77724999998</v>
      </c>
      <c r="T441" s="353">
        <f t="shared" si="417"/>
        <v>18311.008250000006</v>
      </c>
      <c r="U441" s="353">
        <f t="shared" si="417"/>
        <v>9195.2171999999991</v>
      </c>
      <c r="V441" s="353">
        <f t="shared" si="417"/>
        <v>742.88310000000001</v>
      </c>
      <c r="W441" s="353">
        <f t="shared" si="417"/>
        <v>510151.016175</v>
      </c>
      <c r="X441" s="353">
        <f>SUM(X440,X303,X282,X211,X150)+0.01</f>
        <v>31731.684299999997</v>
      </c>
      <c r="Y441" s="353">
        <f t="shared" si="417"/>
        <v>2440.9111000000007</v>
      </c>
      <c r="Z441" s="353">
        <f t="shared" si="417"/>
        <v>24840.712857142851</v>
      </c>
      <c r="AA441" s="353">
        <f t="shared" si="417"/>
        <v>1834.0471633928569</v>
      </c>
      <c r="AB441" s="353">
        <f t="shared" si="417"/>
        <v>0</v>
      </c>
      <c r="AC441" s="353">
        <f t="shared" si="417"/>
        <v>1863.0059642857138</v>
      </c>
      <c r="AD441" s="353">
        <f t="shared" si="417"/>
        <v>70.516064285714279</v>
      </c>
      <c r="AE441" s="353">
        <f t="shared" si="417"/>
        <v>3767.8591919642849</v>
      </c>
      <c r="AF441" s="353">
        <f t="shared" si="417"/>
        <v>248.44612857142846</v>
      </c>
      <c r="AG441" s="353">
        <f t="shared" si="417"/>
        <v>60000</v>
      </c>
      <c r="AH441" s="353">
        <f t="shared" si="417"/>
        <v>150000</v>
      </c>
      <c r="AI441" s="353">
        <f t="shared" si="417"/>
        <v>20000</v>
      </c>
      <c r="AJ441" s="353">
        <f t="shared" si="417"/>
        <v>400400</v>
      </c>
    </row>
    <row r="442" spans="1:36" ht="15.75" thickBot="1">
      <c r="F442" s="393" t="s">
        <v>806</v>
      </c>
      <c r="G442" s="393"/>
      <c r="H442" s="394">
        <f>G441+M443+L441+N441+Q441+S441+U441+X441+AA441+AB441+AC441+AD441+AF441+AH443+AI443+AJ443+VACACIONES!H441+VACACIONES!I441+VACACIONES!J441+VACACIONES!K441+VACACIONES!L441+0.03</f>
        <v>4059176.6885242849</v>
      </c>
      <c r="I442" s="464">
        <f>'[1]ANEXO 4.1 FONDOS PROPIOS'!$H$5+'[1]ANEXO 4.1 FONDOS PROPIOS'!$H$6+'[1]ANEXO 4.1 FONDOS PROPIOS'!$H$7+'[1]ANEXO 4.1 FONDOS PROPIOS'!$H$8+'[1]ANEXO 4.1 FONDOS PROPIOS'!$H$9+'[1]ANEXO 4.1 FONDOS PROPIOS'!$H$10+'[1]ANEXO 4.1 FONDOS PROPIOS'!$H$11+'[1]ANEXO 4.1 FONDOS PROPIOS'!$H$12+'[1]ANEXO 4.1 FONDOS PROPIOS'!$H$13+'[1]ANEXO 4.1 FONDOS PROPIOS'!$H$14+'[1]ANEXO 4.1 FONDOS PROPIOS'!$H$69+'[1]ANEXO 4.1 FONDOS PROPIOS'!$H$70+'[1]ANEXO 4.1 FONDOS PROPIOS'!$H$71+'[1]ANEXO 4.1 FONDOS PROPIOS'!$H$72+'[1]ANEXO 4.1 FONDOS PROPIOS'!$H$73+'[1]ANEXO 4.1 FONDOS PROPIOS'!$H$105+'[1]ANEXO 4.1 FONDOS PROPIOS'!$H$106+'[1]ANEXO 4.1 FONDOS PROPIOS'!$H$107+'[1]ANEXO 4.1 FONDOS PROPIOS'!$H$108+'[1]ANEXO 4.1 FONDOS PROPIOS'!$H$109+'[1]ANEXO 4.1 FONDOS PROPIOS'!$H$110+'[1]ANEXO 4.1 FONDOS PROPIOS'!$H$145+'[1]ANEXO 4.1 FONDOS PROPIOS'!$H$146+'[1]ANEXO 4.1 FONDOS PROPIOS'!$H$147+'[1]ANEXO 4.1 FONDOS PROPIOS'!$H$148+'[1]ANEXO 4.1 FONDOS PROPIOS'!$H$149+'[1]ANEXO 4.1 FONDOS PROPIOS'!$H$150+'[1]ANEXO 4.1 FONDOS PROPIOS'!$H$169+'[1]ANEXO 4.1 FONDOS PROPIOS'!$H$170+'[1]ANEXO 4.1 FONDOS PROPIOS'!$H$171+'[1]ANEXO 4.1 FONDOS PROPIOS'!$H$172+'[1]ANEXO 4.1 FONDOS PROPIOS'!$H$173</f>
        <v>4059176.6930000009</v>
      </c>
      <c r="J442" s="464"/>
      <c r="L442" s="390" t="s">
        <v>811</v>
      </c>
      <c r="M442" s="168"/>
      <c r="AG442" s="396" t="s">
        <v>810</v>
      </c>
      <c r="AH442" s="396" t="s">
        <v>810</v>
      </c>
      <c r="AI442" s="396" t="s">
        <v>810</v>
      </c>
      <c r="AJ442" s="396" t="s">
        <v>810</v>
      </c>
    </row>
    <row r="443" spans="1:36" ht="15.75" thickBot="1">
      <c r="F443" s="393" t="s">
        <v>807</v>
      </c>
      <c r="G443" s="393"/>
      <c r="H443" s="394">
        <f>H441+J441+K441+M441+Z441+AG445+AH445+AI445+AJ445+VACACIONES!G441+M444-0.01</f>
        <v>636337.78535714268</v>
      </c>
      <c r="I443" s="465">
        <f>'[1]ANEXO 4.2 FODES LIBRE DISPON.'!$H$5+'[1]ANEXO 4.2 FODES LIBRE DISPON.'!$H$6+'[1]ANEXO 4.2 FODES LIBRE DISPON.'!$H$7+'[1]ANEXO 4.2 FODES LIBRE DISPON.'!$H$8+'[1]ANEXO 4.2 FODES LIBRE DISPON.'!$H$9+'[1]ANEXO 4.2 FODES LIBRE DISPON.'!$H$10+'[1]ANEXO 4.2 FODES LIBRE DISPON.'!$H$11+'[1]ANEXO 4.2 FODES LIBRE DISPON.'!$H$13+'[1]ANEXO 4.2 FODES LIBRE DISPON.'!$H$14+'[1]ANEXO 4.2 FODES LIBRE DISPON.'!$H$15+'[1]ANEXO 4.2 FODES LIBRE DISPON.'!$H$41+'[1]ANEXO 4.2 FODES LIBRE DISPON.'!$H$42+'[1]ANEXO 4.2 FODES LIBRE DISPON.'!$H$43+'[1]ANEXO 4.2 FODES LIBRE DISPON.'!$H$44+'[1]ANEXO 4.2 FODES LIBRE DISPON.'!$H$45+'[1]ANEXO 4.2 FODES LIBRE DISPON.'!$H$48+'[1]ANEXO 4.2 FODES LIBRE DISPON.'!$H$49+'[1]ANEXO 4.2 FODES LIBRE DISPON.'!$H$50+'[1]ANEXO 4.2 FODES LIBRE DISPON.'!$H$51+'[1]ANEXO 4.2 FODES LIBRE DISPON.'!$H$53+'[1]ANEXO 4.2 FODES LIBRE DISPON.'!$H$54+'[1]ANEXO 4.2 FODES LIBRE DISPON.'!$H$55+'[1]ANEXO 4.2 FODES LIBRE DISPON.'!$H$56+'[1]ANEXO 4.2 FODES LIBRE DISPON.'!$H$63+'[1]ANEXO 4.2 FODES LIBRE DISPON.'!$H$64+'[1]ANEXO 4.2 FODES LIBRE DISPON.'!$H$65+'[1]ANEXO 4.2 FODES LIBRE DISPON.'!$H$66+'[1]ANEXO 4.2 FODES LIBRE DISPON.'!$H$67+'[1]ANEXO 4.2 FODES LIBRE DISPON.'!$H$68+'[1]ANEXO 4.2 FODES LIBRE DISPON.'!$H$12</f>
        <v>636337.79</v>
      </c>
      <c r="J443" s="465"/>
      <c r="L443" s="391" t="s">
        <v>812</v>
      </c>
      <c r="M443" s="397">
        <v>150500</v>
      </c>
      <c r="AG443" s="385">
        <v>0</v>
      </c>
      <c r="AH443" s="385">
        <v>147190.03</v>
      </c>
      <c r="AI443" s="385">
        <v>18500</v>
      </c>
      <c r="AJ443" s="385">
        <v>277200</v>
      </c>
    </row>
    <row r="444" spans="1:36" ht="15.75" thickBot="1">
      <c r="F444" s="393" t="s">
        <v>808</v>
      </c>
      <c r="G444" s="393"/>
      <c r="H444" s="394">
        <f>H442+H443+0.01</f>
        <v>4695514.483881427</v>
      </c>
      <c r="I444" s="465">
        <f>'[1]ANEXO 4.1 FONDOS PROPIOS'!$H$5+'[1]ANEXO 4.1 FONDOS PROPIOS'!$H$6+'[1]ANEXO 4.1 FONDOS PROPIOS'!$H$7+'[1]ANEXO 4.1 FONDOS PROPIOS'!$H$8+'[1]ANEXO 4.1 FONDOS PROPIOS'!$H$9+'[1]ANEXO 4.1 FONDOS PROPIOS'!$H$10+'[1]ANEXO 4.1 FONDOS PROPIOS'!$H$11+'[1]ANEXO 4.1 FONDOS PROPIOS'!$H$12+'[1]ANEXO 4.1 FONDOS PROPIOS'!$H$13+'[1]ANEXO 4.1 FONDOS PROPIOS'!$H$14+'[1]ANEXO 4.1 FONDOS PROPIOS'!$H$69+'[1]ANEXO 4.1 FONDOS PROPIOS'!$H$70+'[1]ANEXO 4.1 FONDOS PROPIOS'!$H$71+'[1]ANEXO 4.1 FONDOS PROPIOS'!$H$72+'[1]ANEXO 4.1 FONDOS PROPIOS'!$H$73+'[1]ANEXO 4.1 FONDOS PROPIOS'!$H$105+'[1]ANEXO 4.1 FONDOS PROPIOS'!$H$106+'[1]ANEXO 4.1 FONDOS PROPIOS'!$H$107+'[1]ANEXO 4.1 FONDOS PROPIOS'!$H$108+'[1]ANEXO 4.1 FONDOS PROPIOS'!$H$109+'[1]ANEXO 4.1 FONDOS PROPIOS'!$H$110+'[1]ANEXO 4.1 FONDOS PROPIOS'!$H$145+'[1]ANEXO 4.1 FONDOS PROPIOS'!$H$146+'[1]ANEXO 4.1 FONDOS PROPIOS'!$H$147+'[1]ANEXO 4.1 FONDOS PROPIOS'!$H$148+'[1]ANEXO 4.1 FONDOS PROPIOS'!$H$149+'[1]ANEXO 4.1 FONDOS PROPIOS'!$H$150+'[1]ANEXO 4.1 FONDOS PROPIOS'!$H$169+'[1]ANEXO 4.1 FONDOS PROPIOS'!$H$170+'[1]ANEXO 4.1 FONDOS PROPIOS'!$H$171+'[1]ANEXO 4.1 FONDOS PROPIOS'!$H$172+'[1]ANEXO 4.1 FONDOS PROPIOS'!$H$173+'[1]ANEXO 4.2 FODES LIBRE DISPON.'!$H$5+'[1]ANEXO 4.2 FODES LIBRE DISPON.'!$H$6+'[1]ANEXO 4.2 FODES LIBRE DISPON.'!$H$7+'[1]ANEXO 4.2 FODES LIBRE DISPON.'!$H$8+'[1]ANEXO 4.2 FODES LIBRE DISPON.'!$H$9+'[1]ANEXO 4.2 FODES LIBRE DISPON.'!$H$10+'[1]ANEXO 4.2 FODES LIBRE DISPON.'!$H$11+'[1]ANEXO 4.2 FODES LIBRE DISPON.'!$H$13+'[1]ANEXO 4.2 FODES LIBRE DISPON.'!$H$14+'[1]ANEXO 4.2 FODES LIBRE DISPON.'!$H$15+'[1]ANEXO 4.2 FODES LIBRE DISPON.'!$H$41+'[1]ANEXO 4.2 FODES LIBRE DISPON.'!$H$42+'[1]ANEXO 4.2 FODES LIBRE DISPON.'!$H$43+'[1]ANEXO 4.2 FODES LIBRE DISPON.'!$H$44+'[1]ANEXO 4.2 FODES LIBRE DISPON.'!$H$45+'[1]ANEXO 4.2 FODES LIBRE DISPON.'!$H$48+'[1]ANEXO 4.2 FODES LIBRE DISPON.'!$H$49+'[1]ANEXO 4.2 FODES LIBRE DISPON.'!$H$50+'[1]ANEXO 4.2 FODES LIBRE DISPON.'!$H$51+'[1]ANEXO 4.2 FODES LIBRE DISPON.'!$H$53+'[1]ANEXO 4.2 FODES LIBRE DISPON.'!$H$54+'[1]ANEXO 4.2 FODES LIBRE DISPON.'!$H$55+'[1]ANEXO 4.2 FODES LIBRE DISPON.'!$H$56+'[1]ANEXO 4.2 FODES LIBRE DISPON.'!$H$63+'[1]ANEXO 4.2 FODES LIBRE DISPON.'!$H$64+'[1]ANEXO 4.2 FODES LIBRE DISPON.'!$H$65+'[1]ANEXO 4.2 FODES LIBRE DISPON.'!$H$66+'[1]ANEXO 4.2 FODES LIBRE DISPON.'!$H$67+'[1]ANEXO 4.2 FODES LIBRE DISPON.'!$H$68</f>
        <v>4684014.483</v>
      </c>
      <c r="J444" s="465"/>
      <c r="K444" s="392">
        <f>I442+I443</f>
        <v>4695514.4830000009</v>
      </c>
      <c r="L444" s="391" t="s">
        <v>813</v>
      </c>
      <c r="M444" s="397">
        <v>11500</v>
      </c>
      <c r="AG444" s="395" t="s">
        <v>809</v>
      </c>
      <c r="AH444" s="395" t="s">
        <v>809</v>
      </c>
      <c r="AI444" s="395" t="s">
        <v>809</v>
      </c>
      <c r="AJ444" s="395" t="s">
        <v>809</v>
      </c>
    </row>
    <row r="445" spans="1:36">
      <c r="M445" s="398">
        <f>M443+M444</f>
        <v>162000</v>
      </c>
      <c r="AG445" s="385">
        <v>60000</v>
      </c>
      <c r="AH445" s="385">
        <v>2809.97</v>
      </c>
      <c r="AI445" s="385">
        <v>1500</v>
      </c>
      <c r="AJ445" s="385">
        <v>123200</v>
      </c>
    </row>
    <row r="446" spans="1:36">
      <c r="AG446" s="386"/>
      <c r="AH446" s="385"/>
      <c r="AI446" s="385"/>
      <c r="AJ446" s="385"/>
    </row>
    <row r="447" spans="1:36">
      <c r="AG447" s="386"/>
      <c r="AH447" s="386"/>
      <c r="AI447" s="386"/>
      <c r="AJ447" s="386"/>
    </row>
    <row r="448" spans="1:36">
      <c r="AE448" s="128"/>
      <c r="AG448" s="386"/>
      <c r="AH448" s="386"/>
      <c r="AI448" s="386"/>
      <c r="AJ448" s="386"/>
    </row>
    <row r="449" spans="33:36">
      <c r="AG449" s="386"/>
      <c r="AH449" s="386"/>
      <c r="AI449" s="386"/>
      <c r="AJ449" s="386"/>
    </row>
    <row r="450" spans="33:36">
      <c r="AG450" s="386"/>
      <c r="AH450" s="386"/>
      <c r="AI450" s="386"/>
      <c r="AJ450" s="386"/>
    </row>
  </sheetData>
  <mergeCells count="45">
    <mergeCell ref="I442:J442"/>
    <mergeCell ref="I443:J443"/>
    <mergeCell ref="I444:J444"/>
    <mergeCell ref="Q4:Y4"/>
    <mergeCell ref="B441:E441"/>
    <mergeCell ref="B46:D46"/>
    <mergeCell ref="B104:C104"/>
    <mergeCell ref="B43:D43"/>
    <mergeCell ref="B307:C307"/>
    <mergeCell ref="B440:E440"/>
    <mergeCell ref="B303:E303"/>
    <mergeCell ref="B282:E282"/>
    <mergeCell ref="B211:E211"/>
    <mergeCell ref="B159:D159"/>
    <mergeCell ref="B180:D180"/>
    <mergeCell ref="M4:M5"/>
    <mergeCell ref="B396:D396"/>
    <mergeCell ref="E3:E5"/>
    <mergeCell ref="F3:G3"/>
    <mergeCell ref="A3:A5"/>
    <mergeCell ref="B3:B5"/>
    <mergeCell ref="C3:C5"/>
    <mergeCell ref="D3:D5"/>
    <mergeCell ref="I3:M3"/>
    <mergeCell ref="B255:E255"/>
    <mergeCell ref="B310:E310"/>
    <mergeCell ref="B138:E138"/>
    <mergeCell ref="B150:E150"/>
    <mergeCell ref="B149:E149"/>
    <mergeCell ref="AJ3:AJ5"/>
    <mergeCell ref="F4:F5"/>
    <mergeCell ref="G4:G5"/>
    <mergeCell ref="H4:H5"/>
    <mergeCell ref="I4:I5"/>
    <mergeCell ref="J4:J5"/>
    <mergeCell ref="K4:K5"/>
    <mergeCell ref="Z3:Z5"/>
    <mergeCell ref="AG3:AG5"/>
    <mergeCell ref="AH3:AH5"/>
    <mergeCell ref="L4:L5"/>
    <mergeCell ref="AI3:AI5"/>
    <mergeCell ref="AA3:AF3"/>
    <mergeCell ref="AB4:AF4"/>
    <mergeCell ref="N4:P4"/>
    <mergeCell ref="N3:Y3"/>
  </mergeCells>
  <phoneticPr fontId="35" type="noConversion"/>
  <printOptions horizontalCentered="1"/>
  <pageMargins left="0.70866141732283472" right="0.70866141732283472" top="0.94488188976377963" bottom="0.74803149606299213" header="0.31496062992125984" footer="0.31496062992125984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1"/>
  <sheetViews>
    <sheetView zoomScale="160" zoomScaleNormal="160" workbookViewId="0">
      <selection activeCell="D9" sqref="D9"/>
    </sheetView>
  </sheetViews>
  <sheetFormatPr baseColWidth="10" defaultRowHeight="15"/>
  <cols>
    <col min="1" max="1" width="4" customWidth="1"/>
    <col min="2" max="2" width="15.42578125" customWidth="1"/>
    <col min="3" max="3" width="8.5703125" customWidth="1"/>
    <col min="4" max="4" width="8" customWidth="1"/>
    <col min="5" max="5" width="4.7109375" customWidth="1"/>
    <col min="6" max="6" width="9.140625" customWidth="1"/>
    <col min="7" max="8" width="8.42578125" customWidth="1"/>
    <col min="9" max="9" width="7.42578125" customWidth="1"/>
    <col min="10" max="10" width="5.7109375" customWidth="1"/>
    <col min="11" max="11" width="7.42578125" customWidth="1"/>
    <col min="12" max="12" width="6.7109375" customWidth="1"/>
    <col min="13" max="13" width="7.85546875" customWidth="1"/>
  </cols>
  <sheetData>
    <row r="1" spans="1:13" ht="18">
      <c r="A1" s="437" t="s">
        <v>692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8.75" thickBot="1">
      <c r="A2" s="438" t="s">
        <v>702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3" ht="15" customHeight="1">
      <c r="A3" s="444" t="s">
        <v>0</v>
      </c>
      <c r="B3" s="421" t="s">
        <v>2</v>
      </c>
      <c r="C3" s="421" t="s">
        <v>776</v>
      </c>
      <c r="D3" s="421" t="s">
        <v>4</v>
      </c>
      <c r="E3" s="442" t="s">
        <v>5</v>
      </c>
      <c r="F3" s="439" t="s">
        <v>6</v>
      </c>
      <c r="G3" s="439"/>
      <c r="H3" s="439" t="s">
        <v>621</v>
      </c>
      <c r="I3" s="439"/>
      <c r="J3" s="439"/>
      <c r="K3" s="439"/>
      <c r="L3" s="439"/>
      <c r="M3" s="440" t="s">
        <v>622</v>
      </c>
    </row>
    <row r="4" spans="1:13" ht="15" customHeight="1">
      <c r="A4" s="445"/>
      <c r="B4" s="422"/>
      <c r="C4" s="422"/>
      <c r="D4" s="422"/>
      <c r="E4" s="443"/>
      <c r="F4" s="420" t="s">
        <v>19</v>
      </c>
      <c r="G4" s="420" t="s">
        <v>623</v>
      </c>
      <c r="H4" s="420" t="s">
        <v>624</v>
      </c>
      <c r="I4" s="420" t="s">
        <v>625</v>
      </c>
      <c r="J4" s="420" t="s">
        <v>626</v>
      </c>
      <c r="K4" s="420" t="s">
        <v>627</v>
      </c>
      <c r="L4" s="420" t="s">
        <v>628</v>
      </c>
      <c r="M4" s="441"/>
    </row>
    <row r="5" spans="1:13" ht="21.75" customHeight="1">
      <c r="A5" s="446"/>
      <c r="B5" s="422"/>
      <c r="C5" s="422"/>
      <c r="D5" s="422"/>
      <c r="E5" s="443"/>
      <c r="F5" s="420"/>
      <c r="G5" s="420"/>
      <c r="H5" s="420"/>
      <c r="I5" s="420"/>
      <c r="J5" s="420"/>
      <c r="K5" s="420"/>
      <c r="L5" s="420"/>
      <c r="M5" s="441"/>
    </row>
    <row r="6" spans="1:13" ht="19.5">
      <c r="A6" s="63">
        <v>1</v>
      </c>
      <c r="B6" s="144" t="s">
        <v>44</v>
      </c>
      <c r="C6" s="145" t="s">
        <v>45</v>
      </c>
      <c r="D6" s="146" t="s">
        <v>46</v>
      </c>
      <c r="E6" s="240" t="s">
        <v>47</v>
      </c>
      <c r="F6" s="241"/>
      <c r="G6" s="8"/>
      <c r="H6" s="8"/>
      <c r="I6" s="8"/>
      <c r="J6" s="242"/>
      <c r="K6" s="242"/>
      <c r="L6" s="242"/>
      <c r="M6" s="242"/>
    </row>
    <row r="7" spans="1:13" ht="19.5">
      <c r="A7" s="63">
        <f>A6+1</f>
        <v>2</v>
      </c>
      <c r="B7" s="144" t="s">
        <v>49</v>
      </c>
      <c r="C7" s="145" t="s">
        <v>45</v>
      </c>
      <c r="D7" s="146" t="s">
        <v>46</v>
      </c>
      <c r="E7" s="240" t="s">
        <v>47</v>
      </c>
      <c r="F7" s="241"/>
      <c r="G7" s="8"/>
      <c r="H7" s="8"/>
      <c r="I7" s="8"/>
      <c r="J7" s="242"/>
      <c r="K7" s="242"/>
      <c r="L7" s="242"/>
      <c r="M7" s="242"/>
    </row>
    <row r="8" spans="1:13" ht="19.5">
      <c r="A8" s="63">
        <f>A7+1</f>
        <v>3</v>
      </c>
      <c r="B8" s="144" t="s">
        <v>52</v>
      </c>
      <c r="C8" s="145" t="s">
        <v>45</v>
      </c>
      <c r="D8" s="146" t="s">
        <v>46</v>
      </c>
      <c r="E8" s="240" t="s">
        <v>47</v>
      </c>
      <c r="F8" s="241"/>
      <c r="G8" s="8"/>
      <c r="H8" s="8"/>
      <c r="I8" s="8"/>
      <c r="J8" s="242"/>
      <c r="K8" s="242"/>
      <c r="L8" s="242"/>
      <c r="M8" s="242"/>
    </row>
    <row r="9" spans="1:13" ht="19.5">
      <c r="A9" s="63">
        <f t="shared" ref="A9:A19" si="0">A8+1</f>
        <v>4</v>
      </c>
      <c r="B9" s="144" t="s">
        <v>54</v>
      </c>
      <c r="C9" s="145" t="s">
        <v>45</v>
      </c>
      <c r="D9" s="146" t="s">
        <v>46</v>
      </c>
      <c r="E9" s="240" t="s">
        <v>47</v>
      </c>
      <c r="F9" s="241"/>
      <c r="G9" s="8"/>
      <c r="H9" s="8"/>
      <c r="I9" s="8"/>
      <c r="J9" s="242"/>
      <c r="K9" s="242"/>
      <c r="L9" s="242"/>
      <c r="M9" s="242"/>
    </row>
    <row r="10" spans="1:13" ht="19.5">
      <c r="A10" s="63">
        <f t="shared" si="0"/>
        <v>5</v>
      </c>
      <c r="B10" s="144" t="s">
        <v>56</v>
      </c>
      <c r="C10" s="145" t="s">
        <v>45</v>
      </c>
      <c r="D10" s="146" t="s">
        <v>46</v>
      </c>
      <c r="E10" s="240" t="s">
        <v>47</v>
      </c>
      <c r="F10" s="241"/>
      <c r="G10" s="8"/>
      <c r="H10" s="8"/>
      <c r="I10" s="8"/>
      <c r="J10" s="242"/>
      <c r="K10" s="242"/>
      <c r="L10" s="242"/>
      <c r="M10" s="242"/>
    </row>
    <row r="11" spans="1:13" ht="19.5">
      <c r="A11" s="63">
        <f t="shared" si="0"/>
        <v>6</v>
      </c>
      <c r="B11" s="144" t="s">
        <v>58</v>
      </c>
      <c r="C11" s="145" t="s">
        <v>45</v>
      </c>
      <c r="D11" s="146" t="s">
        <v>46</v>
      </c>
      <c r="E11" s="240" t="s">
        <v>47</v>
      </c>
      <c r="F11" s="241"/>
      <c r="G11" s="8"/>
      <c r="H11" s="8"/>
      <c r="I11" s="8"/>
      <c r="J11" s="242"/>
      <c r="K11" s="242"/>
      <c r="L11" s="242"/>
      <c r="M11" s="242"/>
    </row>
    <row r="12" spans="1:13" ht="19.5">
      <c r="A12" s="63">
        <f t="shared" si="0"/>
        <v>7</v>
      </c>
      <c r="B12" s="144" t="s">
        <v>60</v>
      </c>
      <c r="C12" s="145" t="s">
        <v>45</v>
      </c>
      <c r="D12" s="146" t="s">
        <v>46</v>
      </c>
      <c r="E12" s="240" t="s">
        <v>47</v>
      </c>
      <c r="F12" s="241"/>
      <c r="G12" s="8"/>
      <c r="H12" s="8"/>
      <c r="I12" s="8"/>
      <c r="J12" s="242"/>
      <c r="K12" s="242"/>
      <c r="L12" s="242"/>
      <c r="M12" s="242"/>
    </row>
    <row r="13" spans="1:13" ht="19.5">
      <c r="A13" s="63">
        <f t="shared" si="0"/>
        <v>8</v>
      </c>
      <c r="B13" s="144" t="s">
        <v>62</v>
      </c>
      <c r="C13" s="145" t="s">
        <v>45</v>
      </c>
      <c r="D13" s="146" t="s">
        <v>46</v>
      </c>
      <c r="E13" s="240" t="s">
        <v>47</v>
      </c>
      <c r="F13" s="241"/>
      <c r="G13" s="8"/>
      <c r="H13" s="8"/>
      <c r="I13" s="8"/>
      <c r="J13" s="242"/>
      <c r="K13" s="242"/>
      <c r="L13" s="242"/>
      <c r="M13" s="242"/>
    </row>
    <row r="14" spans="1:13" ht="19.5">
      <c r="A14" s="63">
        <f t="shared" si="0"/>
        <v>9</v>
      </c>
      <c r="B14" s="144" t="s">
        <v>64</v>
      </c>
      <c r="C14" s="145" t="s">
        <v>45</v>
      </c>
      <c r="D14" s="146" t="s">
        <v>46</v>
      </c>
      <c r="E14" s="240" t="s">
        <v>47</v>
      </c>
      <c r="F14" s="241"/>
      <c r="G14" s="8"/>
      <c r="H14" s="8"/>
      <c r="I14" s="8"/>
      <c r="J14" s="242"/>
      <c r="K14" s="242"/>
      <c r="L14" s="242"/>
      <c r="M14" s="242"/>
    </row>
    <row r="15" spans="1:13" ht="19.5">
      <c r="A15" s="63">
        <f t="shared" si="0"/>
        <v>10</v>
      </c>
      <c r="B15" s="144" t="s">
        <v>66</v>
      </c>
      <c r="C15" s="145" t="s">
        <v>45</v>
      </c>
      <c r="D15" s="146" t="s">
        <v>46</v>
      </c>
      <c r="E15" s="240" t="s">
        <v>47</v>
      </c>
      <c r="F15" s="241"/>
      <c r="G15" s="8"/>
      <c r="H15" s="8"/>
      <c r="I15" s="8"/>
      <c r="J15" s="242"/>
      <c r="K15" s="242"/>
      <c r="L15" s="242"/>
      <c r="M15" s="242"/>
    </row>
    <row r="16" spans="1:13" ht="19.5">
      <c r="A16" s="63">
        <f t="shared" si="0"/>
        <v>11</v>
      </c>
      <c r="B16" s="144" t="s">
        <v>68</v>
      </c>
      <c r="C16" s="145" t="s">
        <v>45</v>
      </c>
      <c r="D16" s="146" t="s">
        <v>46</v>
      </c>
      <c r="E16" s="240" t="s">
        <v>47</v>
      </c>
      <c r="F16" s="241"/>
      <c r="G16" s="8"/>
      <c r="H16" s="8"/>
      <c r="I16" s="8"/>
      <c r="J16" s="242"/>
      <c r="K16" s="242"/>
      <c r="L16" s="242"/>
      <c r="M16" s="242"/>
    </row>
    <row r="17" spans="1:13" ht="19.5">
      <c r="A17" s="63">
        <f t="shared" si="0"/>
        <v>12</v>
      </c>
      <c r="B17" s="144" t="s">
        <v>70</v>
      </c>
      <c r="C17" s="145" t="s">
        <v>45</v>
      </c>
      <c r="D17" s="146" t="s">
        <v>46</v>
      </c>
      <c r="E17" s="240" t="s">
        <v>47</v>
      </c>
      <c r="F17" s="241"/>
      <c r="G17" s="8"/>
      <c r="H17" s="8"/>
      <c r="I17" s="8"/>
      <c r="J17" s="242"/>
      <c r="K17" s="242"/>
      <c r="L17" s="242"/>
      <c r="M17" s="242"/>
    </row>
    <row r="18" spans="1:13" ht="19.5">
      <c r="A18" s="63">
        <f t="shared" si="0"/>
        <v>13</v>
      </c>
      <c r="B18" s="144" t="s">
        <v>72</v>
      </c>
      <c r="C18" s="145" t="s">
        <v>45</v>
      </c>
      <c r="D18" s="146" t="s">
        <v>46</v>
      </c>
      <c r="E18" s="240" t="s">
        <v>47</v>
      </c>
      <c r="F18" s="241"/>
      <c r="G18" s="8"/>
      <c r="H18" s="8"/>
      <c r="I18" s="8"/>
      <c r="J18" s="242"/>
      <c r="K18" s="242"/>
      <c r="L18" s="242"/>
      <c r="M18" s="242"/>
    </row>
    <row r="19" spans="1:13" ht="19.5">
      <c r="A19" s="63">
        <f t="shared" si="0"/>
        <v>14</v>
      </c>
      <c r="B19" s="144" t="s">
        <v>74</v>
      </c>
      <c r="C19" s="145" t="s">
        <v>45</v>
      </c>
      <c r="D19" s="146" t="s">
        <v>46</v>
      </c>
      <c r="E19" s="240" t="s">
        <v>47</v>
      </c>
      <c r="F19" s="241"/>
      <c r="G19" s="8"/>
      <c r="H19" s="8"/>
      <c r="I19" s="8"/>
      <c r="J19" s="242"/>
      <c r="K19" s="242"/>
      <c r="L19" s="242"/>
      <c r="M19" s="242"/>
    </row>
    <row r="20" spans="1:13">
      <c r="A20" s="63"/>
      <c r="B20" s="144"/>
      <c r="C20" s="145"/>
      <c r="D20" s="146"/>
      <c r="E20" s="240"/>
      <c r="F20" s="243"/>
      <c r="G20" s="241"/>
      <c r="H20" s="8"/>
      <c r="I20" s="8"/>
      <c r="J20" s="242"/>
      <c r="K20" s="242"/>
      <c r="L20" s="242"/>
      <c r="M20" s="242"/>
    </row>
    <row r="21" spans="1:13" ht="19.5">
      <c r="A21" s="60">
        <v>1</v>
      </c>
      <c r="B21" s="147" t="s">
        <v>140</v>
      </c>
      <c r="C21" s="148" t="s">
        <v>141</v>
      </c>
      <c r="D21" s="149" t="s">
        <v>79</v>
      </c>
      <c r="E21" s="244" t="s">
        <v>47</v>
      </c>
      <c r="F21" s="245">
        <v>3500</v>
      </c>
      <c r="G21" s="8"/>
      <c r="H21" s="8"/>
      <c r="I21" s="8"/>
      <c r="J21" s="242"/>
      <c r="K21" s="242"/>
      <c r="L21" s="242"/>
      <c r="M21" s="242"/>
    </row>
    <row r="22" spans="1:13" ht="19.5">
      <c r="A22" s="60">
        <f>A21+1</f>
        <v>2</v>
      </c>
      <c r="B22" s="150" t="s">
        <v>83</v>
      </c>
      <c r="C22" s="151" t="s">
        <v>141</v>
      </c>
      <c r="D22" s="152" t="s">
        <v>759</v>
      </c>
      <c r="E22" s="246" t="s">
        <v>47</v>
      </c>
      <c r="F22" s="247">
        <v>500</v>
      </c>
      <c r="G22" s="8"/>
      <c r="H22" s="8"/>
      <c r="I22" s="8"/>
      <c r="J22" s="242"/>
      <c r="K22" s="242"/>
      <c r="L22" s="242"/>
      <c r="M22" s="242"/>
    </row>
    <row r="23" spans="1:13">
      <c r="A23" s="153"/>
      <c r="B23" s="155"/>
      <c r="C23" s="156"/>
      <c r="D23" s="157"/>
      <c r="E23" s="248"/>
      <c r="F23" s="249">
        <f t="shared" ref="F23" si="1">SUM(F21:F22)</f>
        <v>4000</v>
      </c>
      <c r="G23" s="250"/>
      <c r="H23" s="250"/>
      <c r="I23" s="250"/>
      <c r="J23" s="250"/>
      <c r="K23" s="250"/>
      <c r="L23" s="250"/>
      <c r="M23" s="250"/>
    </row>
    <row r="24" spans="1:13" ht="19.5">
      <c r="A24" s="60">
        <f>A22+1</f>
        <v>3</v>
      </c>
      <c r="B24" s="147" t="s">
        <v>782</v>
      </c>
      <c r="C24" s="148" t="s">
        <v>147</v>
      </c>
      <c r="D24" s="149" t="s">
        <v>759</v>
      </c>
      <c r="E24" s="244" t="s">
        <v>47</v>
      </c>
      <c r="F24" s="245">
        <v>1550</v>
      </c>
      <c r="G24" s="8"/>
      <c r="H24" s="8"/>
      <c r="I24" s="8"/>
      <c r="J24" s="242"/>
      <c r="K24" s="242"/>
      <c r="L24" s="242"/>
      <c r="M24" s="242"/>
    </row>
    <row r="25" spans="1:13" ht="19.5">
      <c r="A25" s="60">
        <f>A24+1</f>
        <v>4</v>
      </c>
      <c r="B25" s="158" t="s">
        <v>162</v>
      </c>
      <c r="C25" s="159" t="s">
        <v>147</v>
      </c>
      <c r="D25" s="160" t="s">
        <v>760</v>
      </c>
      <c r="E25" s="251" t="s">
        <v>47</v>
      </c>
      <c r="F25" s="252">
        <v>500</v>
      </c>
      <c r="G25" s="8"/>
      <c r="H25" s="8"/>
      <c r="I25" s="8"/>
      <c r="J25" s="242"/>
      <c r="K25" s="242"/>
      <c r="L25" s="242"/>
      <c r="M25" s="242"/>
    </row>
    <row r="26" spans="1:13">
      <c r="A26" s="60"/>
      <c r="B26" s="155"/>
      <c r="C26" s="156"/>
      <c r="D26" s="157"/>
      <c r="E26" s="248"/>
      <c r="F26" s="249">
        <f>SUM(F24:F25)</f>
        <v>2050</v>
      </c>
      <c r="G26" s="250"/>
      <c r="H26" s="250"/>
      <c r="I26" s="250"/>
      <c r="J26" s="250"/>
      <c r="K26" s="250"/>
      <c r="L26" s="250"/>
      <c r="M26" s="250"/>
    </row>
    <row r="27" spans="1:13" ht="19.5">
      <c r="A27" s="60">
        <f>A25+1</f>
        <v>5</v>
      </c>
      <c r="B27" s="158" t="s">
        <v>151</v>
      </c>
      <c r="C27" s="159" t="s">
        <v>632</v>
      </c>
      <c r="D27" s="160" t="s">
        <v>760</v>
      </c>
      <c r="E27" s="251" t="s">
        <v>47</v>
      </c>
      <c r="F27" s="252">
        <f>1100</f>
        <v>1100</v>
      </c>
      <c r="G27" s="10"/>
      <c r="H27" s="10"/>
      <c r="I27" s="8"/>
      <c r="J27" s="242"/>
      <c r="K27" s="242"/>
      <c r="L27" s="242"/>
      <c r="M27" s="242"/>
    </row>
    <row r="28" spans="1:13" ht="19.5">
      <c r="A28" s="60">
        <f>A27+1</f>
        <v>6</v>
      </c>
      <c r="B28" s="161" t="s">
        <v>143</v>
      </c>
      <c r="C28" s="148" t="s">
        <v>632</v>
      </c>
      <c r="D28" s="149" t="s">
        <v>79</v>
      </c>
      <c r="E28" s="244" t="s">
        <v>47</v>
      </c>
      <c r="F28" s="245">
        <v>647</v>
      </c>
      <c r="G28" s="253"/>
      <c r="H28" s="253"/>
      <c r="I28" s="254"/>
      <c r="J28" s="255"/>
      <c r="K28" s="255"/>
      <c r="L28" s="255"/>
      <c r="M28" s="255"/>
    </row>
    <row r="29" spans="1:13" ht="19.5">
      <c r="A29" s="162">
        <f>A28+1</f>
        <v>7</v>
      </c>
      <c r="B29" s="147" t="s">
        <v>91</v>
      </c>
      <c r="C29" s="148" t="s">
        <v>632</v>
      </c>
      <c r="D29" s="149" t="s">
        <v>79</v>
      </c>
      <c r="E29" s="244" t="s">
        <v>47</v>
      </c>
      <c r="F29" s="245">
        <f>567+30+50+50</f>
        <v>697</v>
      </c>
      <c r="G29" s="8"/>
      <c r="H29" s="8"/>
      <c r="I29" s="8"/>
      <c r="J29" s="242"/>
      <c r="K29" s="242"/>
      <c r="L29" s="242"/>
      <c r="M29" s="242"/>
    </row>
    <row r="30" spans="1:13">
      <c r="A30" s="60"/>
      <c r="B30" s="155"/>
      <c r="C30" s="140"/>
      <c r="D30" s="157"/>
      <c r="E30" s="248"/>
      <c r="F30" s="249">
        <f>SUM(F27:F29)</f>
        <v>2444</v>
      </c>
      <c r="G30" s="250"/>
      <c r="H30" s="250"/>
      <c r="I30" s="250"/>
      <c r="J30" s="250"/>
      <c r="K30" s="250"/>
      <c r="L30" s="250"/>
      <c r="M30" s="250"/>
    </row>
    <row r="31" spans="1:13" ht="19.5">
      <c r="A31" s="60">
        <f>A29+1</f>
        <v>8</v>
      </c>
      <c r="B31" s="163" t="s">
        <v>77</v>
      </c>
      <c r="C31" s="148" t="s">
        <v>78</v>
      </c>
      <c r="D31" s="149" t="s">
        <v>79</v>
      </c>
      <c r="E31" s="244" t="s">
        <v>47</v>
      </c>
      <c r="F31" s="245">
        <v>5000</v>
      </c>
      <c r="G31" s="8"/>
      <c r="H31" s="8"/>
      <c r="I31" s="8"/>
      <c r="J31" s="242"/>
      <c r="K31" s="242"/>
      <c r="L31" s="242"/>
      <c r="M31" s="242"/>
    </row>
    <row r="32" spans="1:13" ht="19.5">
      <c r="A32" s="60">
        <f>A31+1</f>
        <v>9</v>
      </c>
      <c r="B32" s="164" t="s">
        <v>81</v>
      </c>
      <c r="C32" s="151" t="s">
        <v>78</v>
      </c>
      <c r="D32" s="152" t="s">
        <v>759</v>
      </c>
      <c r="E32" s="246" t="s">
        <v>47</v>
      </c>
      <c r="F32" s="247">
        <v>500</v>
      </c>
      <c r="G32" s="8"/>
      <c r="H32" s="8"/>
      <c r="I32" s="8"/>
      <c r="J32" s="242"/>
      <c r="K32" s="242"/>
      <c r="L32" s="242"/>
      <c r="M32" s="242"/>
    </row>
    <row r="33" spans="1:13" ht="19.5">
      <c r="A33" s="60">
        <f>A32+1</f>
        <v>10</v>
      </c>
      <c r="B33" s="164" t="s">
        <v>143</v>
      </c>
      <c r="C33" s="151" t="s">
        <v>78</v>
      </c>
      <c r="D33" s="152" t="s">
        <v>759</v>
      </c>
      <c r="E33" s="246" t="s">
        <v>47</v>
      </c>
      <c r="F33" s="247">
        <v>500</v>
      </c>
      <c r="G33" s="8"/>
      <c r="H33" s="8"/>
      <c r="I33" s="8"/>
      <c r="J33" s="242"/>
      <c r="K33" s="242"/>
      <c r="L33" s="242"/>
      <c r="M33" s="242"/>
    </row>
    <row r="34" spans="1:13" ht="19.5">
      <c r="A34" s="60">
        <f>A33+1</f>
        <v>11</v>
      </c>
      <c r="B34" s="163" t="s">
        <v>85</v>
      </c>
      <c r="C34" s="148" t="s">
        <v>78</v>
      </c>
      <c r="D34" s="149" t="s">
        <v>79</v>
      </c>
      <c r="E34" s="244" t="s">
        <v>47</v>
      </c>
      <c r="F34" s="245">
        <f>467+30+50+50</f>
        <v>597</v>
      </c>
      <c r="G34" s="256"/>
      <c r="H34" s="256"/>
      <c r="I34" s="8"/>
      <c r="J34" s="242"/>
      <c r="K34" s="256"/>
      <c r="L34" s="256"/>
      <c r="M34" s="256"/>
    </row>
    <row r="35" spans="1:13">
      <c r="A35" s="153"/>
      <c r="B35" s="155"/>
      <c r="C35" s="140"/>
      <c r="D35" s="157"/>
      <c r="E35" s="248"/>
      <c r="F35" s="249">
        <f t="shared" ref="F35" si="2">SUM(F31:F34)</f>
        <v>6597</v>
      </c>
      <c r="G35" s="8"/>
      <c r="H35" s="8"/>
      <c r="I35" s="8"/>
      <c r="J35" s="242"/>
      <c r="K35" s="242"/>
      <c r="L35" s="242"/>
      <c r="M35" s="242"/>
    </row>
    <row r="36" spans="1:13" ht="19.5">
      <c r="A36" s="60">
        <f>A34+1</f>
        <v>12</v>
      </c>
      <c r="B36" s="163" t="s">
        <v>633</v>
      </c>
      <c r="C36" s="148" t="s">
        <v>634</v>
      </c>
      <c r="D36" s="149" t="s">
        <v>79</v>
      </c>
      <c r="E36" s="244" t="s">
        <v>47</v>
      </c>
      <c r="F36" s="245">
        <v>1300</v>
      </c>
      <c r="G36" s="10"/>
      <c r="H36" s="10"/>
      <c r="I36" s="8"/>
      <c r="J36" s="242"/>
      <c r="K36" s="242"/>
      <c r="L36" s="242"/>
      <c r="M36" s="242"/>
    </row>
    <row r="37" spans="1:13" ht="19.5">
      <c r="A37" s="60">
        <f>A36+1</f>
        <v>13</v>
      </c>
      <c r="B37" s="163" t="s">
        <v>143</v>
      </c>
      <c r="C37" s="148" t="s">
        <v>634</v>
      </c>
      <c r="D37" s="149" t="s">
        <v>79</v>
      </c>
      <c r="E37" s="244" t="s">
        <v>47</v>
      </c>
      <c r="F37" s="245">
        <f>517+50</f>
        <v>567</v>
      </c>
      <c r="G37" s="10"/>
      <c r="H37" s="10"/>
      <c r="I37" s="8"/>
      <c r="J37" s="242"/>
      <c r="K37" s="242"/>
      <c r="L37" s="242"/>
      <c r="M37" s="242"/>
    </row>
    <row r="38" spans="1:13">
      <c r="A38" s="60"/>
      <c r="B38" s="155"/>
      <c r="C38" s="140"/>
      <c r="D38" s="157"/>
      <c r="E38" s="248"/>
      <c r="F38" s="249">
        <f>SUM(F36:F37)</f>
        <v>1867</v>
      </c>
      <c r="G38" s="255"/>
      <c r="H38" s="255"/>
      <c r="I38" s="254"/>
      <c r="J38" s="255"/>
      <c r="K38" s="255"/>
      <c r="L38" s="255"/>
      <c r="M38" s="255"/>
    </row>
    <row r="39" spans="1:13" ht="23.25" customHeight="1">
      <c r="A39" s="60">
        <f>A37+1</f>
        <v>14</v>
      </c>
      <c r="B39" s="165" t="s">
        <v>120</v>
      </c>
      <c r="C39" s="166" t="s">
        <v>773</v>
      </c>
      <c r="D39" s="152" t="s">
        <v>759</v>
      </c>
      <c r="E39" s="246" t="s">
        <v>47</v>
      </c>
      <c r="F39" s="247">
        <v>1000</v>
      </c>
      <c r="G39" s="253"/>
      <c r="H39" s="253"/>
      <c r="I39" s="254"/>
      <c r="J39" s="255"/>
      <c r="K39" s="255"/>
      <c r="L39" s="255"/>
      <c r="M39" s="255"/>
    </row>
    <row r="40" spans="1:13" ht="21.75" customHeight="1">
      <c r="A40" s="60">
        <f>A39+1</f>
        <v>15</v>
      </c>
      <c r="B40" s="147" t="s">
        <v>730</v>
      </c>
      <c r="C40" s="167" t="s">
        <v>773</v>
      </c>
      <c r="D40" s="149" t="s">
        <v>79</v>
      </c>
      <c r="E40" s="244" t="s">
        <v>47</v>
      </c>
      <c r="F40" s="245">
        <f>730+50</f>
        <v>780</v>
      </c>
      <c r="G40" s="242"/>
      <c r="H40" s="242"/>
      <c r="I40" s="8"/>
      <c r="J40" s="242"/>
      <c r="K40" s="242"/>
      <c r="L40" s="242"/>
      <c r="M40" s="242"/>
    </row>
    <row r="41" spans="1:13" ht="22.5" customHeight="1">
      <c r="A41" s="60">
        <f>A40+1</f>
        <v>16</v>
      </c>
      <c r="B41" s="148" t="s">
        <v>123</v>
      </c>
      <c r="C41" s="167" t="s">
        <v>773</v>
      </c>
      <c r="D41" s="149" t="s">
        <v>79</v>
      </c>
      <c r="E41" s="244" t="s">
        <v>47</v>
      </c>
      <c r="F41" s="245">
        <f>467+30+50+50</f>
        <v>597</v>
      </c>
      <c r="G41" s="242"/>
      <c r="H41" s="242"/>
      <c r="I41" s="8"/>
      <c r="J41" s="242"/>
      <c r="K41" s="242"/>
      <c r="L41" s="242"/>
      <c r="M41" s="242"/>
    </row>
    <row r="42" spans="1:13" ht="21.75" customHeight="1">
      <c r="A42" s="60">
        <f>A41+1</f>
        <v>17</v>
      </c>
      <c r="B42" s="148" t="s">
        <v>123</v>
      </c>
      <c r="C42" s="167" t="s">
        <v>773</v>
      </c>
      <c r="D42" s="149" t="s">
        <v>79</v>
      </c>
      <c r="E42" s="244" t="s">
        <v>47</v>
      </c>
      <c r="F42" s="245">
        <f>517+30</f>
        <v>547</v>
      </c>
      <c r="G42" s="253"/>
      <c r="H42" s="253"/>
      <c r="I42" s="254"/>
      <c r="J42" s="255"/>
      <c r="K42" s="255"/>
      <c r="L42" s="255"/>
      <c r="M42" s="255"/>
    </row>
    <row r="43" spans="1:13">
      <c r="A43" s="432" t="s">
        <v>756</v>
      </c>
      <c r="B43" s="433"/>
      <c r="C43" s="433"/>
      <c r="D43" s="434"/>
      <c r="E43" s="248"/>
      <c r="F43" s="249">
        <f>SUM(F39:F42)</f>
        <v>2924</v>
      </c>
      <c r="G43" s="253"/>
      <c r="H43" s="253"/>
      <c r="I43" s="254"/>
      <c r="J43" s="255"/>
      <c r="K43" s="255"/>
      <c r="L43" s="255"/>
      <c r="M43" s="255"/>
    </row>
    <row r="44" spans="1:13" ht="22.5" customHeight="1">
      <c r="A44" s="60">
        <f>A42+1</f>
        <v>18</v>
      </c>
      <c r="B44" s="148" t="s">
        <v>757</v>
      </c>
      <c r="C44" s="167" t="s">
        <v>758</v>
      </c>
      <c r="D44" s="149" t="s">
        <v>79</v>
      </c>
      <c r="E44" s="244" t="s">
        <v>47</v>
      </c>
      <c r="F44" s="245">
        <v>800</v>
      </c>
      <c r="G44" s="253"/>
      <c r="H44" s="253"/>
      <c r="I44" s="254"/>
      <c r="J44" s="255"/>
      <c r="K44" s="255"/>
      <c r="L44" s="255"/>
      <c r="M44" s="255"/>
    </row>
    <row r="45" spans="1:13" ht="24" customHeight="1">
      <c r="A45" s="153">
        <f>A44+1</f>
        <v>19</v>
      </c>
      <c r="B45" s="148" t="s">
        <v>123</v>
      </c>
      <c r="C45" s="167" t="s">
        <v>758</v>
      </c>
      <c r="D45" s="149" t="s">
        <v>79</v>
      </c>
      <c r="E45" s="244" t="s">
        <v>47</v>
      </c>
      <c r="F45" s="245">
        <f>517+30</f>
        <v>547</v>
      </c>
      <c r="G45" s="242"/>
      <c r="H45" s="242"/>
      <c r="I45" s="8"/>
      <c r="J45" s="242"/>
      <c r="K45" s="242"/>
      <c r="L45" s="242"/>
      <c r="M45" s="242"/>
    </row>
    <row r="46" spans="1:13">
      <c r="A46" s="168"/>
      <c r="B46" s="169"/>
      <c r="C46" s="169"/>
      <c r="D46" s="170"/>
      <c r="E46" s="248"/>
      <c r="F46" s="249">
        <f>SUM(F44:F45)</f>
        <v>1347</v>
      </c>
      <c r="G46" s="8"/>
      <c r="H46" s="8"/>
      <c r="I46" s="8"/>
      <c r="J46" s="242"/>
      <c r="K46" s="242"/>
      <c r="L46" s="242"/>
      <c r="M46" s="242"/>
    </row>
    <row r="47" spans="1:13" ht="19.5">
      <c r="A47" s="60">
        <f>A45+1</f>
        <v>20</v>
      </c>
      <c r="B47" s="165" t="s">
        <v>407</v>
      </c>
      <c r="C47" s="172" t="s">
        <v>408</v>
      </c>
      <c r="D47" s="152" t="s">
        <v>759</v>
      </c>
      <c r="E47" s="246" t="s">
        <v>47</v>
      </c>
      <c r="F47" s="247">
        <v>1000</v>
      </c>
      <c r="G47" s="257">
        <f>F47/2*0.3</f>
        <v>150</v>
      </c>
      <c r="H47" s="257">
        <f>G47*7.75%</f>
        <v>11.625</v>
      </c>
      <c r="I47" s="257"/>
      <c r="J47" s="257"/>
      <c r="K47" s="257">
        <f t="shared" ref="K47:K86" si="3">G47*0.075</f>
        <v>11.25</v>
      </c>
      <c r="L47" s="257">
        <f t="shared" ref="L47:L86" si="4">G47*0.01</f>
        <v>1.5</v>
      </c>
      <c r="M47" s="257">
        <f>SUM(G47:L47)</f>
        <v>174.375</v>
      </c>
    </row>
    <row r="48" spans="1:13" ht="19.5">
      <c r="A48" s="168">
        <f>A47+1</f>
        <v>21</v>
      </c>
      <c r="B48" s="147" t="s">
        <v>410</v>
      </c>
      <c r="C48" s="174" t="s">
        <v>408</v>
      </c>
      <c r="D48" s="149" t="s">
        <v>79</v>
      </c>
      <c r="E48" s="244" t="s">
        <v>47</v>
      </c>
      <c r="F48" s="245">
        <f>740+30+50</f>
        <v>820</v>
      </c>
      <c r="G48" s="257">
        <f>F48/2*0.3</f>
        <v>123</v>
      </c>
      <c r="H48" s="257">
        <f>G48*7.75%</f>
        <v>9.5325000000000006</v>
      </c>
      <c r="I48" s="257"/>
      <c r="J48" s="257"/>
      <c r="K48" s="257">
        <f t="shared" si="3"/>
        <v>9.2249999999999996</v>
      </c>
      <c r="L48" s="257">
        <f t="shared" si="4"/>
        <v>1.23</v>
      </c>
      <c r="M48" s="257">
        <f>SUM(G48:L48)</f>
        <v>142.98749999999998</v>
      </c>
    </row>
    <row r="49" spans="1:13" ht="19.5">
      <c r="A49" s="153">
        <f>A48+1</f>
        <v>22</v>
      </c>
      <c r="B49" s="147" t="s">
        <v>162</v>
      </c>
      <c r="C49" s="174" t="s">
        <v>408</v>
      </c>
      <c r="D49" s="149" t="s">
        <v>79</v>
      </c>
      <c r="E49" s="244" t="s">
        <v>47</v>
      </c>
      <c r="F49" s="245">
        <f>567+30+50+50</f>
        <v>697</v>
      </c>
      <c r="G49" s="253"/>
      <c r="H49" s="253"/>
      <c r="I49" s="254"/>
      <c r="J49" s="255"/>
      <c r="K49" s="255"/>
      <c r="L49" s="255"/>
      <c r="M49" s="255"/>
    </row>
    <row r="50" spans="1:13" ht="19.5">
      <c r="A50" s="60">
        <f t="shared" ref="A50:A88" si="5">A49+1</f>
        <v>23</v>
      </c>
      <c r="B50" s="147" t="s">
        <v>693</v>
      </c>
      <c r="C50" s="174" t="s">
        <v>408</v>
      </c>
      <c r="D50" s="149" t="s">
        <v>79</v>
      </c>
      <c r="E50" s="244" t="s">
        <v>47</v>
      </c>
      <c r="F50" s="245">
        <f>605.15+30+50+50</f>
        <v>735.15</v>
      </c>
      <c r="G50" s="257">
        <f t="shared" ref="G50:G87" si="6">F50/2*0.3</f>
        <v>110.27249999999999</v>
      </c>
      <c r="H50" s="257">
        <f>G50*7.75%</f>
        <v>8.5461187499999998</v>
      </c>
      <c r="I50" s="257"/>
      <c r="J50" s="257"/>
      <c r="K50" s="257">
        <f t="shared" si="3"/>
        <v>8.2704374999999999</v>
      </c>
      <c r="L50" s="257">
        <f t="shared" si="4"/>
        <v>1.102725</v>
      </c>
      <c r="M50" s="257">
        <f>SUM(G50:L50)</f>
        <v>128.19178124999999</v>
      </c>
    </row>
    <row r="51" spans="1:13" ht="19.5">
      <c r="A51" s="60">
        <f t="shared" si="5"/>
        <v>24</v>
      </c>
      <c r="B51" s="147" t="s">
        <v>693</v>
      </c>
      <c r="C51" s="174" t="s">
        <v>408</v>
      </c>
      <c r="D51" s="149" t="s">
        <v>79</v>
      </c>
      <c r="E51" s="244" t="s">
        <v>47</v>
      </c>
      <c r="F51" s="245">
        <f>605.15+30+50+50</f>
        <v>735.15</v>
      </c>
      <c r="G51" s="257">
        <f t="shared" si="6"/>
        <v>110.27249999999999</v>
      </c>
      <c r="H51" s="257">
        <f>G51*7.75%</f>
        <v>8.5461187499999998</v>
      </c>
      <c r="I51" s="257"/>
      <c r="J51" s="257"/>
      <c r="K51" s="257">
        <f>G51*0.075</f>
        <v>8.2704374999999999</v>
      </c>
      <c r="L51" s="257">
        <f>G51*0.01</f>
        <v>1.102725</v>
      </c>
      <c r="M51" s="257">
        <f>SUM(G51:L51)</f>
        <v>128.19178124999999</v>
      </c>
    </row>
    <row r="52" spans="1:13" ht="19.5">
      <c r="A52" s="60">
        <f t="shared" si="5"/>
        <v>25</v>
      </c>
      <c r="B52" s="147" t="s">
        <v>693</v>
      </c>
      <c r="C52" s="174" t="s">
        <v>408</v>
      </c>
      <c r="D52" s="149" t="s">
        <v>79</v>
      </c>
      <c r="E52" s="244" t="s">
        <v>47</v>
      </c>
      <c r="F52" s="245">
        <f>605.15+30+50+50</f>
        <v>735.15</v>
      </c>
      <c r="G52" s="257">
        <f t="shared" si="6"/>
        <v>110.27249999999999</v>
      </c>
      <c r="H52" s="257"/>
      <c r="I52" s="257">
        <f>G52*0.06</f>
        <v>6.6163499999999997</v>
      </c>
      <c r="J52" s="257"/>
      <c r="K52" s="257">
        <f t="shared" si="3"/>
        <v>8.2704374999999999</v>
      </c>
      <c r="L52" s="257">
        <f t="shared" si="4"/>
        <v>1.102725</v>
      </c>
      <c r="M52" s="257">
        <f>SUM(G52:L52)</f>
        <v>126.2620125</v>
      </c>
    </row>
    <row r="53" spans="1:13" ht="19.5">
      <c r="A53" s="60">
        <f t="shared" si="5"/>
        <v>26</v>
      </c>
      <c r="B53" s="147" t="s">
        <v>415</v>
      </c>
      <c r="C53" s="174" t="s">
        <v>408</v>
      </c>
      <c r="D53" s="149" t="s">
        <v>79</v>
      </c>
      <c r="E53" s="244" t="s">
        <v>47</v>
      </c>
      <c r="F53" s="245">
        <f>547+30+50+50</f>
        <v>677</v>
      </c>
      <c r="G53" s="257">
        <f t="shared" si="6"/>
        <v>101.55</v>
      </c>
      <c r="H53" s="257">
        <f>G53*7.75%</f>
        <v>7.8701249999999998</v>
      </c>
      <c r="I53" s="257"/>
      <c r="J53" s="257"/>
      <c r="K53" s="257">
        <f t="shared" si="3"/>
        <v>7.6162499999999991</v>
      </c>
      <c r="L53" s="257">
        <f t="shared" si="4"/>
        <v>1.0155000000000001</v>
      </c>
      <c r="M53" s="257">
        <f>SUM(G53:L53)+0.01</f>
        <v>118.061875</v>
      </c>
    </row>
    <row r="54" spans="1:13" ht="19.5">
      <c r="A54" s="60">
        <v>27</v>
      </c>
      <c r="B54" s="379" t="s">
        <v>415</v>
      </c>
      <c r="C54" s="380" t="s">
        <v>408</v>
      </c>
      <c r="D54" s="381" t="s">
        <v>79</v>
      </c>
      <c r="E54" s="382" t="s">
        <v>47</v>
      </c>
      <c r="F54" s="383">
        <v>650</v>
      </c>
      <c r="G54" s="384">
        <f>F54/2*0.3</f>
        <v>97.5</v>
      </c>
      <c r="H54" s="384">
        <f>G54*7.75%</f>
        <v>7.5562500000000004</v>
      </c>
      <c r="I54" s="257"/>
      <c r="J54" s="257"/>
      <c r="K54" s="257">
        <f>G54*0.075</f>
        <v>7.3125</v>
      </c>
      <c r="L54" s="257">
        <f>G54*0.01</f>
        <v>0.97499999999999998</v>
      </c>
      <c r="M54" s="257">
        <f>SUM(G54:L54)+0.01</f>
        <v>113.35375000000001</v>
      </c>
    </row>
    <row r="55" spans="1:13" ht="19.5">
      <c r="A55" s="60">
        <v>28</v>
      </c>
      <c r="B55" s="165" t="s">
        <v>415</v>
      </c>
      <c r="C55" s="172" t="s">
        <v>408</v>
      </c>
      <c r="D55" s="152" t="s">
        <v>759</v>
      </c>
      <c r="E55" s="246" t="s">
        <v>47</v>
      </c>
      <c r="F55" s="247">
        <v>650</v>
      </c>
      <c r="G55" s="257">
        <f>F55/2*0.3</f>
        <v>97.5</v>
      </c>
      <c r="H55" s="257">
        <f>G55*7.75%</f>
        <v>7.5562500000000004</v>
      </c>
      <c r="I55" s="253"/>
      <c r="J55" s="257"/>
      <c r="K55" s="257">
        <f>G55*0.075</f>
        <v>7.3125</v>
      </c>
      <c r="L55" s="257">
        <f>G55*0.01</f>
        <v>0.97499999999999998</v>
      </c>
      <c r="M55" s="257">
        <f>SUM(G55:L55)+0.01</f>
        <v>113.35375000000001</v>
      </c>
    </row>
    <row r="56" spans="1:13">
      <c r="A56" s="60">
        <v>29</v>
      </c>
      <c r="B56" s="158" t="s">
        <v>792</v>
      </c>
      <c r="C56" s="175" t="s">
        <v>408</v>
      </c>
      <c r="D56" s="160" t="s">
        <v>760</v>
      </c>
      <c r="E56" s="251" t="s">
        <v>47</v>
      </c>
      <c r="F56" s="252">
        <v>600</v>
      </c>
      <c r="G56" s="257">
        <f t="shared" ref="G56" si="7">F56/2*0.3</f>
        <v>90</v>
      </c>
      <c r="H56" s="257">
        <f t="shared" ref="H56" si="8">G56*7.75%</f>
        <v>6.9749999999999996</v>
      </c>
      <c r="I56" s="257"/>
      <c r="J56" s="257"/>
      <c r="K56" s="257">
        <f t="shared" ref="K56" si="9">G56*0.075</f>
        <v>6.75</v>
      </c>
      <c r="L56" s="257">
        <f t="shared" ref="L56" si="10">G56*0.01</f>
        <v>0.9</v>
      </c>
      <c r="M56" s="257">
        <f t="shared" ref="M56" si="11">SUM(G56:L56)</f>
        <v>104.625</v>
      </c>
    </row>
    <row r="57" spans="1:13" ht="19.5">
      <c r="A57" s="60">
        <v>30</v>
      </c>
      <c r="B57" s="147" t="s">
        <v>419</v>
      </c>
      <c r="C57" s="174" t="s">
        <v>408</v>
      </c>
      <c r="D57" s="149" t="s">
        <v>79</v>
      </c>
      <c r="E57" s="244" t="s">
        <v>47</v>
      </c>
      <c r="F57" s="245">
        <f t="shared" ref="F57:F68" si="12">467+30+50+50</f>
        <v>597</v>
      </c>
      <c r="G57" s="257">
        <f t="shared" si="6"/>
        <v>89.55</v>
      </c>
      <c r="H57" s="257">
        <f>G57*7.75%</f>
        <v>6.9401250000000001</v>
      </c>
      <c r="I57" s="257"/>
      <c r="J57" s="257"/>
      <c r="K57" s="257">
        <f t="shared" si="3"/>
        <v>6.7162499999999996</v>
      </c>
      <c r="L57" s="257">
        <f t="shared" si="4"/>
        <v>0.89549999999999996</v>
      </c>
      <c r="M57" s="257">
        <f t="shared" ref="M57:M68" si="13">SUM(G57:L57)+0.01</f>
        <v>104.111875</v>
      </c>
    </row>
    <row r="58" spans="1:13" ht="19.5">
      <c r="A58" s="60">
        <v>31</v>
      </c>
      <c r="B58" s="147" t="s">
        <v>419</v>
      </c>
      <c r="C58" s="174" t="s">
        <v>408</v>
      </c>
      <c r="D58" s="149" t="s">
        <v>79</v>
      </c>
      <c r="E58" s="244" t="s">
        <v>47</v>
      </c>
      <c r="F58" s="245">
        <f t="shared" si="12"/>
        <v>597</v>
      </c>
      <c r="G58" s="257">
        <f t="shared" si="6"/>
        <v>89.55</v>
      </c>
      <c r="H58" s="257">
        <f>G58*7.75%</f>
        <v>6.9401250000000001</v>
      </c>
      <c r="I58" s="257"/>
      <c r="J58" s="257"/>
      <c r="K58" s="257">
        <f t="shared" si="3"/>
        <v>6.7162499999999996</v>
      </c>
      <c r="L58" s="257">
        <f t="shared" si="4"/>
        <v>0.89549999999999996</v>
      </c>
      <c r="M58" s="257">
        <f t="shared" si="13"/>
        <v>104.111875</v>
      </c>
    </row>
    <row r="59" spans="1:13" ht="19.5">
      <c r="A59" s="60">
        <v>32</v>
      </c>
      <c r="B59" s="147" t="s">
        <v>419</v>
      </c>
      <c r="C59" s="173" t="s">
        <v>408</v>
      </c>
      <c r="D59" s="149" t="s">
        <v>79</v>
      </c>
      <c r="E59" s="244" t="s">
        <v>47</v>
      </c>
      <c r="F59" s="245">
        <f t="shared" si="12"/>
        <v>597</v>
      </c>
      <c r="G59" s="257">
        <f t="shared" si="6"/>
        <v>89.55</v>
      </c>
      <c r="H59" s="257"/>
      <c r="I59" s="257">
        <f>G59*0.06</f>
        <v>5.3729999999999993</v>
      </c>
      <c r="J59" s="254"/>
      <c r="K59" s="257">
        <f t="shared" si="3"/>
        <v>6.7162499999999996</v>
      </c>
      <c r="L59" s="257">
        <f t="shared" si="4"/>
        <v>0.89549999999999996</v>
      </c>
      <c r="M59" s="257">
        <f t="shared" si="13"/>
        <v>102.54475000000001</v>
      </c>
    </row>
    <row r="60" spans="1:13" ht="19.5">
      <c r="A60" s="60">
        <v>33</v>
      </c>
      <c r="B60" s="147" t="s">
        <v>419</v>
      </c>
      <c r="C60" s="173" t="s">
        <v>408</v>
      </c>
      <c r="D60" s="149" t="s">
        <v>79</v>
      </c>
      <c r="E60" s="244" t="s">
        <v>47</v>
      </c>
      <c r="F60" s="245">
        <f t="shared" si="12"/>
        <v>597</v>
      </c>
      <c r="G60" s="257">
        <f t="shared" si="6"/>
        <v>89.55</v>
      </c>
      <c r="H60" s="257">
        <f>G60*7.75%</f>
        <v>6.9401250000000001</v>
      </c>
      <c r="I60" s="254"/>
      <c r="J60" s="253"/>
      <c r="K60" s="257">
        <f t="shared" si="3"/>
        <v>6.7162499999999996</v>
      </c>
      <c r="L60" s="257">
        <f t="shared" si="4"/>
        <v>0.89549999999999996</v>
      </c>
      <c r="M60" s="257">
        <f t="shared" si="13"/>
        <v>104.111875</v>
      </c>
    </row>
    <row r="61" spans="1:13" ht="19.5">
      <c r="A61" s="60">
        <v>34</v>
      </c>
      <c r="B61" s="147" t="s">
        <v>419</v>
      </c>
      <c r="C61" s="174" t="s">
        <v>408</v>
      </c>
      <c r="D61" s="149" t="s">
        <v>79</v>
      </c>
      <c r="E61" s="244" t="s">
        <v>47</v>
      </c>
      <c r="F61" s="245">
        <f t="shared" si="12"/>
        <v>597</v>
      </c>
      <c r="G61" s="257">
        <f t="shared" si="6"/>
        <v>89.55</v>
      </c>
      <c r="H61" s="257">
        <f>G61*7.75%</f>
        <v>6.9401250000000001</v>
      </c>
      <c r="I61" s="257"/>
      <c r="J61" s="257"/>
      <c r="K61" s="257">
        <f t="shared" si="3"/>
        <v>6.7162499999999996</v>
      </c>
      <c r="L61" s="257">
        <f t="shared" si="4"/>
        <v>0.89549999999999996</v>
      </c>
      <c r="M61" s="257">
        <f t="shared" si="13"/>
        <v>104.111875</v>
      </c>
    </row>
    <row r="62" spans="1:13" ht="19.5">
      <c r="A62" s="60">
        <v>35</v>
      </c>
      <c r="B62" s="147" t="s">
        <v>419</v>
      </c>
      <c r="C62" s="174" t="s">
        <v>408</v>
      </c>
      <c r="D62" s="149" t="s">
        <v>79</v>
      </c>
      <c r="E62" s="244" t="s">
        <v>47</v>
      </c>
      <c r="F62" s="245">
        <f t="shared" si="12"/>
        <v>597</v>
      </c>
      <c r="G62" s="257">
        <f t="shared" si="6"/>
        <v>89.55</v>
      </c>
      <c r="H62" s="257">
        <f>G62*7.75%</f>
        <v>6.9401250000000001</v>
      </c>
      <c r="I62" s="257"/>
      <c r="J62" s="257"/>
      <c r="K62" s="257">
        <f t="shared" si="3"/>
        <v>6.7162499999999996</v>
      </c>
      <c r="L62" s="257">
        <f t="shared" si="4"/>
        <v>0.89549999999999996</v>
      </c>
      <c r="M62" s="257">
        <f t="shared" si="13"/>
        <v>104.111875</v>
      </c>
    </row>
    <row r="63" spans="1:13" ht="19.5">
      <c r="A63" s="60">
        <v>36</v>
      </c>
      <c r="B63" s="147" t="s">
        <v>419</v>
      </c>
      <c r="C63" s="174" t="s">
        <v>408</v>
      </c>
      <c r="D63" s="149" t="s">
        <v>79</v>
      </c>
      <c r="E63" s="244" t="s">
        <v>47</v>
      </c>
      <c r="F63" s="245">
        <f t="shared" si="12"/>
        <v>597</v>
      </c>
      <c r="G63" s="257">
        <f t="shared" si="6"/>
        <v>89.55</v>
      </c>
      <c r="H63" s="257">
        <f>G63*7.75%</f>
        <v>6.9401250000000001</v>
      </c>
      <c r="I63" s="253"/>
      <c r="J63" s="257"/>
      <c r="K63" s="257">
        <f t="shared" si="3"/>
        <v>6.7162499999999996</v>
      </c>
      <c r="L63" s="257">
        <f t="shared" si="4"/>
        <v>0.89549999999999996</v>
      </c>
      <c r="M63" s="257">
        <f t="shared" si="13"/>
        <v>104.111875</v>
      </c>
    </row>
    <row r="64" spans="1:13" ht="19.5">
      <c r="A64" s="60">
        <v>37</v>
      </c>
      <c r="B64" s="147" t="s">
        <v>419</v>
      </c>
      <c r="C64" s="174" t="s">
        <v>408</v>
      </c>
      <c r="D64" s="149" t="s">
        <v>79</v>
      </c>
      <c r="E64" s="244" t="s">
        <v>47</v>
      </c>
      <c r="F64" s="245">
        <f t="shared" si="12"/>
        <v>597</v>
      </c>
      <c r="G64" s="257">
        <f t="shared" si="6"/>
        <v>89.55</v>
      </c>
      <c r="H64" s="257">
        <f>G64*7.75%</f>
        <v>6.9401250000000001</v>
      </c>
      <c r="I64" s="253"/>
      <c r="J64" s="257"/>
      <c r="K64" s="257">
        <f t="shared" si="3"/>
        <v>6.7162499999999996</v>
      </c>
      <c r="L64" s="257">
        <f t="shared" si="4"/>
        <v>0.89549999999999996</v>
      </c>
      <c r="M64" s="257">
        <f t="shared" si="13"/>
        <v>104.111875</v>
      </c>
    </row>
    <row r="65" spans="1:13" ht="19.5">
      <c r="A65" s="60">
        <f t="shared" si="5"/>
        <v>38</v>
      </c>
      <c r="B65" s="147" t="s">
        <v>419</v>
      </c>
      <c r="C65" s="174" t="s">
        <v>408</v>
      </c>
      <c r="D65" s="149" t="s">
        <v>79</v>
      </c>
      <c r="E65" s="244" t="s">
        <v>47</v>
      </c>
      <c r="F65" s="245">
        <f t="shared" si="12"/>
        <v>597</v>
      </c>
      <c r="G65" s="257">
        <f t="shared" si="6"/>
        <v>89.55</v>
      </c>
      <c r="H65" s="257"/>
      <c r="I65" s="257">
        <f>G65*0.06</f>
        <v>5.3729999999999993</v>
      </c>
      <c r="J65" s="257"/>
      <c r="K65" s="257">
        <f t="shared" si="3"/>
        <v>6.7162499999999996</v>
      </c>
      <c r="L65" s="257">
        <f t="shared" si="4"/>
        <v>0.89549999999999996</v>
      </c>
      <c r="M65" s="257">
        <f t="shared" si="13"/>
        <v>102.54475000000001</v>
      </c>
    </row>
    <row r="66" spans="1:13" ht="19.5">
      <c r="A66" s="60">
        <f t="shared" si="5"/>
        <v>39</v>
      </c>
      <c r="B66" s="147" t="s">
        <v>419</v>
      </c>
      <c r="C66" s="174" t="s">
        <v>408</v>
      </c>
      <c r="D66" s="149" t="s">
        <v>79</v>
      </c>
      <c r="E66" s="244" t="s">
        <v>47</v>
      </c>
      <c r="F66" s="245">
        <f t="shared" si="12"/>
        <v>597</v>
      </c>
      <c r="G66" s="257">
        <f t="shared" si="6"/>
        <v>89.55</v>
      </c>
      <c r="H66" s="257"/>
      <c r="I66" s="257">
        <f>G66*0.06</f>
        <v>5.3729999999999993</v>
      </c>
      <c r="J66" s="257"/>
      <c r="K66" s="257">
        <f t="shared" si="3"/>
        <v>6.7162499999999996</v>
      </c>
      <c r="L66" s="257">
        <f t="shared" si="4"/>
        <v>0.89549999999999996</v>
      </c>
      <c r="M66" s="257">
        <f t="shared" si="13"/>
        <v>102.54475000000001</v>
      </c>
    </row>
    <row r="67" spans="1:13" ht="19.5">
      <c r="A67" s="60">
        <f t="shared" si="5"/>
        <v>40</v>
      </c>
      <c r="B67" s="147" t="s">
        <v>419</v>
      </c>
      <c r="C67" s="174" t="s">
        <v>408</v>
      </c>
      <c r="D67" s="149" t="s">
        <v>79</v>
      </c>
      <c r="E67" s="244" t="s">
        <v>47</v>
      </c>
      <c r="F67" s="245">
        <f t="shared" si="12"/>
        <v>597</v>
      </c>
      <c r="G67" s="257">
        <f t="shared" si="6"/>
        <v>89.55</v>
      </c>
      <c r="H67" s="257"/>
      <c r="I67" s="257">
        <f>G67*0.06</f>
        <v>5.3729999999999993</v>
      </c>
      <c r="J67" s="257"/>
      <c r="K67" s="257">
        <f t="shared" si="3"/>
        <v>6.7162499999999996</v>
      </c>
      <c r="L67" s="257">
        <f t="shared" si="4"/>
        <v>0.89549999999999996</v>
      </c>
      <c r="M67" s="257">
        <f t="shared" si="13"/>
        <v>102.54475000000001</v>
      </c>
    </row>
    <row r="68" spans="1:13" ht="19.5">
      <c r="A68" s="60">
        <f t="shared" si="5"/>
        <v>41</v>
      </c>
      <c r="B68" s="147" t="s">
        <v>419</v>
      </c>
      <c r="C68" s="174" t="s">
        <v>408</v>
      </c>
      <c r="D68" s="149" t="s">
        <v>79</v>
      </c>
      <c r="E68" s="244" t="s">
        <v>47</v>
      </c>
      <c r="F68" s="245">
        <f t="shared" si="12"/>
        <v>597</v>
      </c>
      <c r="G68" s="257">
        <f t="shared" si="6"/>
        <v>89.55</v>
      </c>
      <c r="H68" s="257">
        <f>G68*7.75%</f>
        <v>6.9401250000000001</v>
      </c>
      <c r="I68" s="257"/>
      <c r="J68" s="257"/>
      <c r="K68" s="257">
        <f t="shared" si="3"/>
        <v>6.7162499999999996</v>
      </c>
      <c r="L68" s="257">
        <f t="shared" si="4"/>
        <v>0.89549999999999996</v>
      </c>
      <c r="M68" s="257">
        <f t="shared" si="13"/>
        <v>104.111875</v>
      </c>
    </row>
    <row r="69" spans="1:13" ht="19.5">
      <c r="A69" s="60">
        <f t="shared" si="5"/>
        <v>42</v>
      </c>
      <c r="B69" s="147" t="s">
        <v>421</v>
      </c>
      <c r="C69" s="174" t="s">
        <v>408</v>
      </c>
      <c r="D69" s="149" t="s">
        <v>79</v>
      </c>
      <c r="E69" s="244" t="s">
        <v>47</v>
      </c>
      <c r="F69" s="245">
        <f>417+30+50+50</f>
        <v>547</v>
      </c>
      <c r="G69" s="257">
        <f t="shared" si="6"/>
        <v>82.05</v>
      </c>
      <c r="H69" s="257">
        <f>G69*7.75%</f>
        <v>6.3588749999999994</v>
      </c>
      <c r="I69" s="257"/>
      <c r="J69" s="257"/>
      <c r="K69" s="257">
        <f t="shared" si="3"/>
        <v>6.1537499999999996</v>
      </c>
      <c r="L69" s="257">
        <f t="shared" si="4"/>
        <v>0.82050000000000001</v>
      </c>
      <c r="M69" s="257">
        <f>SUM(G69:L69)</f>
        <v>95.383124999999993</v>
      </c>
    </row>
    <row r="70" spans="1:13" ht="19.5">
      <c r="A70" s="60">
        <f t="shared" si="5"/>
        <v>43</v>
      </c>
      <c r="B70" s="147" t="s">
        <v>421</v>
      </c>
      <c r="C70" s="174" t="s">
        <v>408</v>
      </c>
      <c r="D70" s="149" t="s">
        <v>79</v>
      </c>
      <c r="E70" s="244" t="s">
        <v>47</v>
      </c>
      <c r="F70" s="245">
        <f>417+30+50+50</f>
        <v>547</v>
      </c>
      <c r="G70" s="257">
        <f t="shared" si="6"/>
        <v>82.05</v>
      </c>
      <c r="H70" s="257"/>
      <c r="I70" s="257">
        <f>G70*0.06</f>
        <v>4.923</v>
      </c>
      <c r="J70" s="257"/>
      <c r="K70" s="257">
        <f t="shared" si="3"/>
        <v>6.1537499999999996</v>
      </c>
      <c r="L70" s="257">
        <f t="shared" si="4"/>
        <v>0.82050000000000001</v>
      </c>
      <c r="M70" s="257">
        <f>SUM(G70:L70)-0.01</f>
        <v>93.937249999999992</v>
      </c>
    </row>
    <row r="71" spans="1:13" ht="19.5">
      <c r="A71" s="60">
        <f t="shared" si="5"/>
        <v>44</v>
      </c>
      <c r="B71" s="147" t="s">
        <v>435</v>
      </c>
      <c r="C71" s="174" t="s">
        <v>408</v>
      </c>
      <c r="D71" s="149" t="s">
        <v>79</v>
      </c>
      <c r="E71" s="244" t="s">
        <v>47</v>
      </c>
      <c r="F71" s="245">
        <f>387+30+50+50</f>
        <v>517</v>
      </c>
      <c r="G71" s="257">
        <f t="shared" si="6"/>
        <v>77.55</v>
      </c>
      <c r="H71" s="257">
        <f t="shared" ref="H71:H87" si="14">G71*7.75%</f>
        <v>6.0101249999999995</v>
      </c>
      <c r="I71" s="257"/>
      <c r="J71" s="257"/>
      <c r="K71" s="257">
        <f t="shared" si="3"/>
        <v>5.8162499999999993</v>
      </c>
      <c r="L71" s="257">
        <f t="shared" si="4"/>
        <v>0.77549999999999997</v>
      </c>
      <c r="M71" s="257">
        <f>SUM(G71:L71)+0.01</f>
        <v>90.161874999999995</v>
      </c>
    </row>
    <row r="72" spans="1:13" ht="19.5">
      <c r="A72" s="60">
        <f t="shared" si="5"/>
        <v>45</v>
      </c>
      <c r="B72" s="147" t="s">
        <v>435</v>
      </c>
      <c r="C72" s="174" t="s">
        <v>408</v>
      </c>
      <c r="D72" s="149" t="s">
        <v>79</v>
      </c>
      <c r="E72" s="244" t="s">
        <v>47</v>
      </c>
      <c r="F72" s="245">
        <f>387+30+50+50</f>
        <v>517</v>
      </c>
      <c r="G72" s="257">
        <f t="shared" si="6"/>
        <v>77.55</v>
      </c>
      <c r="H72" s="257">
        <f t="shared" si="14"/>
        <v>6.0101249999999995</v>
      </c>
      <c r="I72" s="257"/>
      <c r="J72" s="257"/>
      <c r="K72" s="257">
        <f t="shared" si="3"/>
        <v>5.8162499999999993</v>
      </c>
      <c r="L72" s="257">
        <f t="shared" si="4"/>
        <v>0.77549999999999997</v>
      </c>
      <c r="M72" s="257">
        <f>SUM(G72:L72)+0.01</f>
        <v>90.161874999999995</v>
      </c>
    </row>
    <row r="73" spans="1:13" ht="19.5">
      <c r="A73" s="60">
        <f t="shared" si="5"/>
        <v>46</v>
      </c>
      <c r="B73" s="147" t="s">
        <v>435</v>
      </c>
      <c r="C73" s="174" t="s">
        <v>408</v>
      </c>
      <c r="D73" s="149" t="s">
        <v>79</v>
      </c>
      <c r="E73" s="244" t="s">
        <v>47</v>
      </c>
      <c r="F73" s="245">
        <f>387+30+50+50</f>
        <v>517</v>
      </c>
      <c r="G73" s="257">
        <f t="shared" si="6"/>
        <v>77.55</v>
      </c>
      <c r="H73" s="257"/>
      <c r="I73" s="257">
        <f>G73*0.06</f>
        <v>4.6529999999999996</v>
      </c>
      <c r="J73" s="257"/>
      <c r="K73" s="257">
        <f t="shared" si="3"/>
        <v>5.8162499999999993</v>
      </c>
      <c r="L73" s="257">
        <f t="shared" si="4"/>
        <v>0.77549999999999997</v>
      </c>
      <c r="M73" s="257">
        <f>SUM(G73:L73)+0.01</f>
        <v>88.804749999999999</v>
      </c>
    </row>
    <row r="74" spans="1:13" ht="19.5">
      <c r="A74" s="60">
        <f t="shared" si="5"/>
        <v>47</v>
      </c>
      <c r="B74" s="147" t="s">
        <v>435</v>
      </c>
      <c r="C74" s="174" t="s">
        <v>408</v>
      </c>
      <c r="D74" s="149" t="s">
        <v>79</v>
      </c>
      <c r="E74" s="244" t="s">
        <v>47</v>
      </c>
      <c r="F74" s="245">
        <f>387+30+50+50</f>
        <v>517</v>
      </c>
      <c r="G74" s="257">
        <f t="shared" si="6"/>
        <v>77.55</v>
      </c>
      <c r="H74" s="257">
        <f t="shared" si="14"/>
        <v>6.0101249999999995</v>
      </c>
      <c r="I74" s="257"/>
      <c r="J74" s="257"/>
      <c r="K74" s="257">
        <f t="shared" si="3"/>
        <v>5.8162499999999993</v>
      </c>
      <c r="L74" s="257">
        <f t="shared" si="4"/>
        <v>0.77549999999999997</v>
      </c>
      <c r="M74" s="257">
        <f>SUM(G74:L74)+0.01</f>
        <v>90.161874999999995</v>
      </c>
    </row>
    <row r="75" spans="1:13" ht="19.5">
      <c r="A75" s="60">
        <f t="shared" si="5"/>
        <v>48</v>
      </c>
      <c r="B75" s="147" t="s">
        <v>435</v>
      </c>
      <c r="C75" s="174" t="s">
        <v>408</v>
      </c>
      <c r="D75" s="149" t="s">
        <v>79</v>
      </c>
      <c r="E75" s="244" t="s">
        <v>47</v>
      </c>
      <c r="F75" s="245">
        <f>387+30+50+50</f>
        <v>517</v>
      </c>
      <c r="G75" s="257">
        <f t="shared" si="6"/>
        <v>77.55</v>
      </c>
      <c r="H75" s="257">
        <f t="shared" si="14"/>
        <v>6.0101249999999995</v>
      </c>
      <c r="I75" s="257"/>
      <c r="J75" s="257"/>
      <c r="K75" s="257">
        <f t="shared" si="3"/>
        <v>5.8162499999999993</v>
      </c>
      <c r="L75" s="257">
        <f t="shared" si="4"/>
        <v>0.77549999999999997</v>
      </c>
      <c r="M75" s="257">
        <f>SUM(G75:L75)+0.01</f>
        <v>90.161874999999995</v>
      </c>
    </row>
    <row r="76" spans="1:13" ht="19.5">
      <c r="A76" s="60">
        <f t="shared" si="5"/>
        <v>49</v>
      </c>
      <c r="B76" s="147" t="s">
        <v>444</v>
      </c>
      <c r="C76" s="174" t="s">
        <v>408</v>
      </c>
      <c r="D76" s="149" t="s">
        <v>79</v>
      </c>
      <c r="E76" s="244" t="s">
        <v>47</v>
      </c>
      <c r="F76" s="245">
        <f>417+50</f>
        <v>467</v>
      </c>
      <c r="G76" s="257">
        <f t="shared" si="6"/>
        <v>70.05</v>
      </c>
      <c r="H76" s="257">
        <f t="shared" si="14"/>
        <v>5.4288749999999997</v>
      </c>
      <c r="I76" s="253"/>
      <c r="J76" s="257"/>
      <c r="K76" s="257">
        <f t="shared" si="3"/>
        <v>5.2537499999999993</v>
      </c>
      <c r="L76" s="257">
        <f t="shared" si="4"/>
        <v>0.70050000000000001</v>
      </c>
      <c r="M76" s="257">
        <f>SUM(G76:L76)</f>
        <v>81.433125000000004</v>
      </c>
    </row>
    <row r="77" spans="1:13" ht="19.5">
      <c r="A77" s="60">
        <v>50</v>
      </c>
      <c r="B77" s="155" t="s">
        <v>444</v>
      </c>
      <c r="C77" s="176" t="s">
        <v>408</v>
      </c>
      <c r="D77" s="157" t="s">
        <v>759</v>
      </c>
      <c r="E77" s="248" t="s">
        <v>47</v>
      </c>
      <c r="F77" s="249">
        <v>417</v>
      </c>
      <c r="G77" s="257">
        <f>F77/2*0.3</f>
        <v>62.55</v>
      </c>
      <c r="H77" s="257">
        <f>G77*7.75%</f>
        <v>4.8476249999999999</v>
      </c>
      <c r="I77" s="257"/>
      <c r="J77" s="257"/>
      <c r="K77" s="257">
        <f>G77*0.075</f>
        <v>4.6912499999999993</v>
      </c>
      <c r="L77" s="257">
        <f>G77*0.01</f>
        <v>0.62549999999999994</v>
      </c>
      <c r="M77" s="257">
        <f>SUM(G77:L77)+0.01</f>
        <v>72.724374999999995</v>
      </c>
    </row>
    <row r="78" spans="1:13" ht="19.5">
      <c r="A78" s="60">
        <v>51</v>
      </c>
      <c r="B78" s="165" t="s">
        <v>444</v>
      </c>
      <c r="C78" s="172" t="s">
        <v>408</v>
      </c>
      <c r="D78" s="152" t="s">
        <v>759</v>
      </c>
      <c r="E78" s="246" t="s">
        <v>47</v>
      </c>
      <c r="F78" s="247">
        <v>417</v>
      </c>
      <c r="G78" s="257">
        <f t="shared" si="6"/>
        <v>62.55</v>
      </c>
      <c r="H78" s="257">
        <f t="shared" si="14"/>
        <v>4.8476249999999999</v>
      </c>
      <c r="I78" s="253"/>
      <c r="J78" s="257"/>
      <c r="K78" s="257">
        <f t="shared" si="3"/>
        <v>4.6912499999999993</v>
      </c>
      <c r="L78" s="257">
        <f t="shared" si="4"/>
        <v>0.62549999999999994</v>
      </c>
      <c r="M78" s="257">
        <f>SUM(G78:L78)+0.01</f>
        <v>72.724374999999995</v>
      </c>
    </row>
    <row r="79" spans="1:13">
      <c r="A79" s="60">
        <v>52</v>
      </c>
      <c r="B79" s="158" t="s">
        <v>444</v>
      </c>
      <c r="C79" s="175" t="s">
        <v>408</v>
      </c>
      <c r="D79" s="160" t="s">
        <v>760</v>
      </c>
      <c r="E79" s="251" t="s">
        <v>47</v>
      </c>
      <c r="F79" s="252">
        <v>417</v>
      </c>
      <c r="G79" s="257">
        <f t="shared" si="6"/>
        <v>62.55</v>
      </c>
      <c r="H79" s="257">
        <f t="shared" si="14"/>
        <v>4.8476249999999999</v>
      </c>
      <c r="I79" s="257"/>
      <c r="J79" s="257"/>
      <c r="K79" s="257">
        <f t="shared" si="3"/>
        <v>4.6912499999999993</v>
      </c>
      <c r="L79" s="257">
        <f t="shared" si="4"/>
        <v>0.62549999999999994</v>
      </c>
      <c r="M79" s="257">
        <f t="shared" ref="M79:M87" si="15">SUM(G79:L79)+0.01</f>
        <v>72.724374999999995</v>
      </c>
    </row>
    <row r="80" spans="1:13">
      <c r="A80" s="60">
        <v>53</v>
      </c>
      <c r="B80" s="158" t="s">
        <v>444</v>
      </c>
      <c r="C80" s="175" t="s">
        <v>408</v>
      </c>
      <c r="D80" s="160" t="s">
        <v>760</v>
      </c>
      <c r="E80" s="251" t="s">
        <v>47</v>
      </c>
      <c r="F80" s="252">
        <v>417</v>
      </c>
      <c r="G80" s="257">
        <f t="shared" si="6"/>
        <v>62.55</v>
      </c>
      <c r="H80" s="257">
        <f t="shared" si="14"/>
        <v>4.8476249999999999</v>
      </c>
      <c r="I80" s="257"/>
      <c r="J80" s="257"/>
      <c r="K80" s="257">
        <f t="shared" si="3"/>
        <v>4.6912499999999993</v>
      </c>
      <c r="L80" s="257">
        <f t="shared" si="4"/>
        <v>0.62549999999999994</v>
      </c>
      <c r="M80" s="257">
        <f t="shared" si="15"/>
        <v>72.724374999999995</v>
      </c>
    </row>
    <row r="81" spans="1:13">
      <c r="A81" s="60">
        <v>54</v>
      </c>
      <c r="B81" s="158" t="s">
        <v>444</v>
      </c>
      <c r="C81" s="175" t="s">
        <v>408</v>
      </c>
      <c r="D81" s="160" t="s">
        <v>760</v>
      </c>
      <c r="E81" s="251" t="s">
        <v>47</v>
      </c>
      <c r="F81" s="252">
        <v>417</v>
      </c>
      <c r="G81" s="257">
        <f t="shared" si="6"/>
        <v>62.55</v>
      </c>
      <c r="H81" s="257">
        <f t="shared" si="14"/>
        <v>4.8476249999999999</v>
      </c>
      <c r="I81" s="257"/>
      <c r="J81" s="257"/>
      <c r="K81" s="257">
        <f t="shared" si="3"/>
        <v>4.6912499999999993</v>
      </c>
      <c r="L81" s="257">
        <f t="shared" si="4"/>
        <v>0.62549999999999994</v>
      </c>
      <c r="M81" s="257">
        <f t="shared" si="15"/>
        <v>72.724374999999995</v>
      </c>
    </row>
    <row r="82" spans="1:13">
      <c r="A82" s="60">
        <f t="shared" si="5"/>
        <v>55</v>
      </c>
      <c r="B82" s="158" t="s">
        <v>444</v>
      </c>
      <c r="C82" s="175" t="s">
        <v>408</v>
      </c>
      <c r="D82" s="160" t="s">
        <v>760</v>
      </c>
      <c r="E82" s="251" t="s">
        <v>47</v>
      </c>
      <c r="F82" s="252">
        <v>417</v>
      </c>
      <c r="G82" s="257">
        <f t="shared" si="6"/>
        <v>62.55</v>
      </c>
      <c r="H82" s="257">
        <f t="shared" si="14"/>
        <v>4.8476249999999999</v>
      </c>
      <c r="I82" s="257"/>
      <c r="J82" s="257"/>
      <c r="K82" s="257">
        <f t="shared" si="3"/>
        <v>4.6912499999999993</v>
      </c>
      <c r="L82" s="257">
        <f t="shared" si="4"/>
        <v>0.62549999999999994</v>
      </c>
      <c r="M82" s="257">
        <f t="shared" si="15"/>
        <v>72.724374999999995</v>
      </c>
    </row>
    <row r="83" spans="1:13" ht="19.5">
      <c r="A83" s="60">
        <f t="shared" si="5"/>
        <v>56</v>
      </c>
      <c r="B83" s="165" t="s">
        <v>444</v>
      </c>
      <c r="C83" s="172" t="s">
        <v>408</v>
      </c>
      <c r="D83" s="152" t="s">
        <v>759</v>
      </c>
      <c r="E83" s="246" t="s">
        <v>47</v>
      </c>
      <c r="F83" s="247">
        <v>417</v>
      </c>
      <c r="G83" s="257">
        <f t="shared" si="6"/>
        <v>62.55</v>
      </c>
      <c r="H83" s="257">
        <f t="shared" si="14"/>
        <v>4.8476249999999999</v>
      </c>
      <c r="I83" s="257"/>
      <c r="J83" s="257"/>
      <c r="K83" s="257">
        <f t="shared" si="3"/>
        <v>4.6912499999999993</v>
      </c>
      <c r="L83" s="257">
        <f t="shared" si="4"/>
        <v>0.62549999999999994</v>
      </c>
      <c r="M83" s="257">
        <f t="shared" si="15"/>
        <v>72.724374999999995</v>
      </c>
    </row>
    <row r="84" spans="1:13">
      <c r="A84" s="60">
        <f t="shared" si="5"/>
        <v>57</v>
      </c>
      <c r="B84" s="158" t="s">
        <v>444</v>
      </c>
      <c r="C84" s="175" t="s">
        <v>408</v>
      </c>
      <c r="D84" s="160" t="s">
        <v>760</v>
      </c>
      <c r="E84" s="251" t="s">
        <v>47</v>
      </c>
      <c r="F84" s="252">
        <v>417</v>
      </c>
      <c r="G84" s="257">
        <f t="shared" si="6"/>
        <v>62.55</v>
      </c>
      <c r="H84" s="257">
        <f t="shared" si="14"/>
        <v>4.8476249999999999</v>
      </c>
      <c r="I84" s="257"/>
      <c r="J84" s="257"/>
      <c r="K84" s="257">
        <f t="shared" si="3"/>
        <v>4.6912499999999993</v>
      </c>
      <c r="L84" s="257">
        <f t="shared" si="4"/>
        <v>0.62549999999999994</v>
      </c>
      <c r="M84" s="257">
        <f t="shared" si="15"/>
        <v>72.724374999999995</v>
      </c>
    </row>
    <row r="85" spans="1:13">
      <c r="A85" s="60">
        <f t="shared" si="5"/>
        <v>58</v>
      </c>
      <c r="B85" s="158" t="s">
        <v>444</v>
      </c>
      <c r="C85" s="175" t="s">
        <v>408</v>
      </c>
      <c r="D85" s="160" t="s">
        <v>760</v>
      </c>
      <c r="E85" s="251" t="s">
        <v>47</v>
      </c>
      <c r="F85" s="252">
        <v>417</v>
      </c>
      <c r="G85" s="257">
        <f t="shared" si="6"/>
        <v>62.55</v>
      </c>
      <c r="H85" s="257">
        <f t="shared" si="14"/>
        <v>4.8476249999999999</v>
      </c>
      <c r="I85" s="257"/>
      <c r="J85" s="257"/>
      <c r="K85" s="257">
        <f t="shared" si="3"/>
        <v>4.6912499999999993</v>
      </c>
      <c r="L85" s="257">
        <f t="shared" si="4"/>
        <v>0.62549999999999994</v>
      </c>
      <c r="M85" s="257">
        <f t="shared" si="15"/>
        <v>72.724374999999995</v>
      </c>
    </row>
    <row r="86" spans="1:13">
      <c r="A86" s="60">
        <f t="shared" si="5"/>
        <v>59</v>
      </c>
      <c r="B86" s="158" t="s">
        <v>444</v>
      </c>
      <c r="C86" s="175" t="s">
        <v>408</v>
      </c>
      <c r="D86" s="160" t="s">
        <v>760</v>
      </c>
      <c r="E86" s="251" t="s">
        <v>47</v>
      </c>
      <c r="F86" s="252">
        <v>417</v>
      </c>
      <c r="G86" s="257">
        <f t="shared" si="6"/>
        <v>62.55</v>
      </c>
      <c r="H86" s="257">
        <f t="shared" si="14"/>
        <v>4.8476249999999999</v>
      </c>
      <c r="I86" s="253"/>
      <c r="J86" s="257"/>
      <c r="K86" s="257">
        <f t="shared" si="3"/>
        <v>4.6912499999999993</v>
      </c>
      <c r="L86" s="257">
        <f t="shared" si="4"/>
        <v>0.62549999999999994</v>
      </c>
      <c r="M86" s="257">
        <f t="shared" si="15"/>
        <v>72.724374999999995</v>
      </c>
    </row>
    <row r="87" spans="1:13">
      <c r="A87" s="60">
        <f t="shared" si="5"/>
        <v>60</v>
      </c>
      <c r="B87" s="158" t="s">
        <v>444</v>
      </c>
      <c r="C87" s="175" t="s">
        <v>408</v>
      </c>
      <c r="D87" s="160" t="s">
        <v>760</v>
      </c>
      <c r="E87" s="251" t="s">
        <v>47</v>
      </c>
      <c r="F87" s="252">
        <v>417</v>
      </c>
      <c r="G87" s="257">
        <f t="shared" si="6"/>
        <v>62.55</v>
      </c>
      <c r="H87" s="257">
        <f t="shared" si="14"/>
        <v>4.8476249999999999</v>
      </c>
      <c r="I87" s="253"/>
      <c r="J87" s="257"/>
      <c r="K87" s="257">
        <f>G87*0.075</f>
        <v>4.6912499999999993</v>
      </c>
      <c r="L87" s="257">
        <f>G87*0.01</f>
        <v>0.62549999999999994</v>
      </c>
      <c r="M87" s="257">
        <f t="shared" si="15"/>
        <v>72.724374999999995</v>
      </c>
    </row>
    <row r="88" spans="1:13">
      <c r="A88" s="60">
        <f t="shared" si="5"/>
        <v>61</v>
      </c>
      <c r="B88" s="158" t="s">
        <v>732</v>
      </c>
      <c r="C88" s="175" t="s">
        <v>408</v>
      </c>
      <c r="D88" s="160" t="s">
        <v>760</v>
      </c>
      <c r="E88" s="251" t="s">
        <v>47</v>
      </c>
      <c r="F88" s="252">
        <v>417</v>
      </c>
      <c r="G88" s="257">
        <f>F88/2*0.3</f>
        <v>62.55</v>
      </c>
      <c r="H88" s="257">
        <f>G88*7.75%</f>
        <v>4.8476249999999999</v>
      </c>
      <c r="I88" s="253"/>
      <c r="J88" s="257"/>
      <c r="K88" s="257">
        <f>G88*0.075</f>
        <v>4.6912499999999993</v>
      </c>
      <c r="L88" s="257">
        <f>G88*0.01</f>
        <v>0.62549999999999994</v>
      </c>
      <c r="M88" s="257">
        <f>SUM(G88:L88)+0.01</f>
        <v>72.724374999999995</v>
      </c>
    </row>
    <row r="89" spans="1:13">
      <c r="A89" s="168"/>
      <c r="B89" s="155"/>
      <c r="C89" s="176"/>
      <c r="D89" s="157"/>
      <c r="E89" s="248"/>
      <c r="F89" s="303">
        <f>SUM(F47:F88)</f>
        <v>23613.45</v>
      </c>
      <c r="G89" s="301">
        <f>SUM(G47:G88)-0.01</f>
        <v>3437.4575000000032</v>
      </c>
      <c r="H89" s="301">
        <f>SUM(H47:H88)+0.05</f>
        <v>217.77811249999985</v>
      </c>
      <c r="I89" s="301">
        <f>SUM(I47:I88)-0.01</f>
        <v>37.674349999999997</v>
      </c>
      <c r="J89" s="301">
        <f>SUM(J47:J88)</f>
        <v>0</v>
      </c>
      <c r="K89" s="301">
        <f>SUM(K47:K88)+0.04</f>
        <v>257.85006249999998</v>
      </c>
      <c r="L89" s="301">
        <f>SUM(L47:L88)+0.14</f>
        <v>34.514674999999997</v>
      </c>
      <c r="M89" s="301">
        <f>SUM(M47:M88)-0.1</f>
        <v>3985.2746999999963</v>
      </c>
    </row>
    <row r="90" spans="1:13" ht="20.25" customHeight="1">
      <c r="A90" s="60">
        <v>62</v>
      </c>
      <c r="B90" s="147" t="s">
        <v>394</v>
      </c>
      <c r="C90" s="148" t="s">
        <v>395</v>
      </c>
      <c r="D90" s="149" t="s">
        <v>79</v>
      </c>
      <c r="E90" s="244" t="s">
        <v>47</v>
      </c>
      <c r="F90" s="245">
        <v>1025</v>
      </c>
      <c r="G90" s="242"/>
      <c r="H90" s="242"/>
      <c r="I90" s="8"/>
      <c r="J90" s="242"/>
      <c r="K90" s="242"/>
      <c r="L90" s="242"/>
      <c r="M90" s="242"/>
    </row>
    <row r="91" spans="1:13" ht="20.25" customHeight="1">
      <c r="A91" s="60">
        <f>A90+1</f>
        <v>63</v>
      </c>
      <c r="B91" s="147" t="s">
        <v>645</v>
      </c>
      <c r="C91" s="148" t="s">
        <v>395</v>
      </c>
      <c r="D91" s="149" t="s">
        <v>79</v>
      </c>
      <c r="E91" s="244" t="s">
        <v>47</v>
      </c>
      <c r="F91" s="245">
        <v>700</v>
      </c>
      <c r="G91" s="242"/>
      <c r="H91" s="242"/>
      <c r="I91" s="8"/>
      <c r="J91" s="242"/>
      <c r="K91" s="242"/>
      <c r="L91" s="242"/>
      <c r="M91" s="242"/>
    </row>
    <row r="92" spans="1:13" ht="20.25" customHeight="1">
      <c r="A92" s="60">
        <f>A91+1</f>
        <v>64</v>
      </c>
      <c r="B92" s="147" t="s">
        <v>135</v>
      </c>
      <c r="C92" s="148" t="s">
        <v>395</v>
      </c>
      <c r="D92" s="149" t="s">
        <v>79</v>
      </c>
      <c r="E92" s="244" t="s">
        <v>47</v>
      </c>
      <c r="F92" s="245">
        <v>500</v>
      </c>
      <c r="G92" s="242"/>
      <c r="H92" s="242"/>
      <c r="I92" s="8"/>
      <c r="J92" s="242"/>
      <c r="K92" s="242"/>
      <c r="L92" s="242"/>
      <c r="M92" s="242"/>
    </row>
    <row r="93" spans="1:13" ht="20.25" customHeight="1">
      <c r="A93" s="177">
        <f>A92+1</f>
        <v>65</v>
      </c>
      <c r="B93" s="178" t="s">
        <v>137</v>
      </c>
      <c r="C93" s="151" t="s">
        <v>395</v>
      </c>
      <c r="D93" s="152" t="s">
        <v>759</v>
      </c>
      <c r="E93" s="246" t="s">
        <v>47</v>
      </c>
      <c r="F93" s="247">
        <v>417</v>
      </c>
      <c r="G93" s="242"/>
      <c r="H93" s="242"/>
      <c r="I93" s="8"/>
      <c r="J93" s="242"/>
      <c r="K93" s="242"/>
      <c r="L93" s="242"/>
      <c r="M93" s="242"/>
    </row>
    <row r="94" spans="1:13" ht="20.25" customHeight="1">
      <c r="A94" s="60">
        <f>A93+1</f>
        <v>66</v>
      </c>
      <c r="B94" s="171" t="s">
        <v>137</v>
      </c>
      <c r="C94" s="151" t="s">
        <v>395</v>
      </c>
      <c r="D94" s="152" t="s">
        <v>759</v>
      </c>
      <c r="E94" s="246" t="s">
        <v>47</v>
      </c>
      <c r="F94" s="247">
        <v>417</v>
      </c>
      <c r="G94" s="8"/>
      <c r="H94" s="8"/>
      <c r="I94" s="8"/>
      <c r="J94" s="242"/>
      <c r="K94" s="242"/>
      <c r="L94" s="242"/>
      <c r="M94" s="242"/>
    </row>
    <row r="95" spans="1:13" ht="20.25" customHeight="1">
      <c r="A95" s="60">
        <f>A94+1</f>
        <v>67</v>
      </c>
      <c r="B95" s="179" t="s">
        <v>137</v>
      </c>
      <c r="C95" s="180" t="s">
        <v>395</v>
      </c>
      <c r="D95" s="181" t="s">
        <v>759</v>
      </c>
      <c r="E95" s="259" t="s">
        <v>47</v>
      </c>
      <c r="F95" s="260">
        <v>417</v>
      </c>
      <c r="G95" s="8"/>
      <c r="H95" s="8"/>
      <c r="I95" s="8"/>
      <c r="J95" s="242"/>
      <c r="K95" s="242"/>
      <c r="L95" s="242"/>
      <c r="M95" s="242"/>
    </row>
    <row r="96" spans="1:13">
      <c r="A96" s="168"/>
      <c r="B96" s="155"/>
      <c r="C96" s="176"/>
      <c r="D96" s="157"/>
      <c r="E96" s="248"/>
      <c r="F96" s="249">
        <f>SUM(F90:F95)</f>
        <v>3476</v>
      </c>
      <c r="G96" s="57"/>
      <c r="H96" s="57"/>
      <c r="I96" s="57"/>
      <c r="J96" s="57"/>
      <c r="K96" s="57"/>
      <c r="L96" s="57"/>
      <c r="M96" s="57"/>
    </row>
    <row r="97" spans="1:13" ht="19.5">
      <c r="A97" s="60">
        <f>A95+1</f>
        <v>68</v>
      </c>
      <c r="B97" s="147" t="s">
        <v>198</v>
      </c>
      <c r="C97" s="148" t="s">
        <v>199</v>
      </c>
      <c r="D97" s="149" t="s">
        <v>79</v>
      </c>
      <c r="E97" s="244" t="s">
        <v>47</v>
      </c>
      <c r="F97" s="245">
        <v>800</v>
      </c>
      <c r="G97" s="57"/>
      <c r="H97" s="242"/>
      <c r="I97" s="8"/>
      <c r="J97" s="242"/>
      <c r="K97" s="242"/>
      <c r="L97" s="242"/>
      <c r="M97" s="242"/>
    </row>
    <row r="98" spans="1:13" ht="21" customHeight="1">
      <c r="A98" s="60">
        <f>A97+1</f>
        <v>69</v>
      </c>
      <c r="B98" s="163" t="s">
        <v>201</v>
      </c>
      <c r="C98" s="148" t="s">
        <v>199</v>
      </c>
      <c r="D98" s="149" t="s">
        <v>79</v>
      </c>
      <c r="E98" s="244" t="s">
        <v>47</v>
      </c>
      <c r="F98" s="245">
        <f>567+30+50+50</f>
        <v>697</v>
      </c>
      <c r="G98" s="242"/>
      <c r="H98" s="242"/>
      <c r="I98" s="8"/>
      <c r="J98" s="242"/>
      <c r="K98" s="242"/>
      <c r="L98" s="242"/>
      <c r="M98" s="242"/>
    </row>
    <row r="99" spans="1:13" ht="19.5">
      <c r="A99" s="60">
        <f>A98+1</f>
        <v>70</v>
      </c>
      <c r="B99" s="147" t="s">
        <v>123</v>
      </c>
      <c r="C99" s="148" t="s">
        <v>199</v>
      </c>
      <c r="D99" s="149" t="s">
        <v>79</v>
      </c>
      <c r="E99" s="244" t="s">
        <v>47</v>
      </c>
      <c r="F99" s="245">
        <f>567+30+50+50</f>
        <v>697</v>
      </c>
      <c r="G99" s="242"/>
      <c r="H99" s="242"/>
      <c r="I99" s="8"/>
      <c r="J99" s="242"/>
      <c r="K99" s="242"/>
      <c r="L99" s="242"/>
      <c r="M99" s="242"/>
    </row>
    <row r="100" spans="1:13" ht="19.5">
      <c r="A100" s="60">
        <f>A99+1</f>
        <v>71</v>
      </c>
      <c r="B100" s="147" t="s">
        <v>123</v>
      </c>
      <c r="C100" s="148" t="s">
        <v>199</v>
      </c>
      <c r="D100" s="149" t="s">
        <v>79</v>
      </c>
      <c r="E100" s="244" t="s">
        <v>47</v>
      </c>
      <c r="F100" s="245">
        <f>567+30+50+50</f>
        <v>697</v>
      </c>
      <c r="G100" s="255"/>
      <c r="H100" s="255"/>
      <c r="I100" s="254"/>
      <c r="J100" s="255"/>
      <c r="K100" s="255"/>
      <c r="L100" s="255"/>
      <c r="M100" s="255"/>
    </row>
    <row r="101" spans="1:13">
      <c r="A101" s="168"/>
      <c r="B101" s="155"/>
      <c r="C101" s="140"/>
      <c r="D101" s="157"/>
      <c r="E101" s="248"/>
      <c r="F101" s="249">
        <f>SUM(F97:F100)</f>
        <v>2891</v>
      </c>
      <c r="G101" s="250"/>
      <c r="H101" s="250"/>
      <c r="I101" s="250"/>
      <c r="J101" s="250"/>
      <c r="K101" s="250"/>
      <c r="L101" s="250"/>
      <c r="M101" s="250"/>
    </row>
    <row r="102" spans="1:13" ht="37.5">
      <c r="A102" s="153">
        <f>A100+1</f>
        <v>72</v>
      </c>
      <c r="B102" s="163" t="s">
        <v>630</v>
      </c>
      <c r="C102" s="148" t="s">
        <v>631</v>
      </c>
      <c r="D102" s="149" t="s">
        <v>79</v>
      </c>
      <c r="E102" s="244" t="s">
        <v>47</v>
      </c>
      <c r="F102" s="245">
        <v>700</v>
      </c>
      <c r="G102" s="242"/>
      <c r="H102" s="242"/>
      <c r="I102" s="8"/>
      <c r="J102" s="242"/>
      <c r="K102" s="242"/>
      <c r="L102" s="242"/>
      <c r="M102" s="242"/>
    </row>
    <row r="103" spans="1:13" ht="37.5">
      <c r="A103" s="60">
        <f>A102+1</f>
        <v>73</v>
      </c>
      <c r="B103" s="164" t="s">
        <v>91</v>
      </c>
      <c r="C103" s="151" t="s">
        <v>631</v>
      </c>
      <c r="D103" s="152" t="s">
        <v>759</v>
      </c>
      <c r="E103" s="246" t="s">
        <v>47</v>
      </c>
      <c r="F103" s="247">
        <v>417</v>
      </c>
      <c r="G103" s="242"/>
      <c r="H103" s="242"/>
      <c r="I103" s="8"/>
      <c r="J103" s="242"/>
      <c r="K103" s="242"/>
      <c r="L103" s="242"/>
      <c r="M103" s="242"/>
    </row>
    <row r="104" spans="1:13">
      <c r="A104" s="168"/>
      <c r="B104" s="22"/>
      <c r="C104" s="140"/>
      <c r="D104" s="157"/>
      <c r="E104" s="248"/>
      <c r="F104" s="249">
        <f>SUM(F102:F103)</f>
        <v>1117</v>
      </c>
      <c r="G104" s="8"/>
      <c r="H104" s="8"/>
      <c r="I104" s="8"/>
      <c r="J104" s="242"/>
      <c r="K104" s="242"/>
      <c r="L104" s="242"/>
      <c r="M104" s="242"/>
    </row>
    <row r="105" spans="1:13" ht="19.5">
      <c r="A105" s="60">
        <f>A103+1</f>
        <v>74</v>
      </c>
      <c r="B105" s="147" t="s">
        <v>726</v>
      </c>
      <c r="C105" s="148" t="s">
        <v>745</v>
      </c>
      <c r="D105" s="149" t="s">
        <v>79</v>
      </c>
      <c r="E105" s="244" t="s">
        <v>47</v>
      </c>
      <c r="F105" s="245">
        <v>1900</v>
      </c>
      <c r="G105" s="257"/>
      <c r="H105" s="257"/>
      <c r="I105" s="253"/>
      <c r="J105" s="257"/>
      <c r="K105" s="257"/>
      <c r="L105" s="257"/>
      <c r="M105" s="257"/>
    </row>
    <row r="106" spans="1:13" ht="19.5">
      <c r="A106" s="60">
        <f>A105+1</f>
        <v>75</v>
      </c>
      <c r="B106" s="163" t="s">
        <v>110</v>
      </c>
      <c r="C106" s="148" t="s">
        <v>745</v>
      </c>
      <c r="D106" s="149" t="s">
        <v>79</v>
      </c>
      <c r="E106" s="244" t="s">
        <v>47</v>
      </c>
      <c r="F106" s="245">
        <f>945+30+50</f>
        <v>1025</v>
      </c>
      <c r="G106" s="257"/>
      <c r="H106" s="257"/>
      <c r="I106" s="253"/>
      <c r="J106" s="257"/>
      <c r="K106" s="257"/>
      <c r="L106" s="257"/>
      <c r="M106" s="257"/>
    </row>
    <row r="107" spans="1:13">
      <c r="A107" s="168"/>
      <c r="B107" s="155"/>
      <c r="C107" s="140"/>
      <c r="D107" s="157"/>
      <c r="E107" s="248"/>
      <c r="F107" s="249">
        <f>SUM(F105:F106)</f>
        <v>2925</v>
      </c>
      <c r="G107" s="258"/>
      <c r="H107" s="258"/>
      <c r="I107" s="258"/>
      <c r="J107" s="258"/>
      <c r="K107" s="258"/>
      <c r="L107" s="258"/>
      <c r="M107" s="258"/>
    </row>
    <row r="108" spans="1:13" ht="33" customHeight="1">
      <c r="A108" s="60">
        <f>A106+1</f>
        <v>76</v>
      </c>
      <c r="B108" s="182" t="s">
        <v>660</v>
      </c>
      <c r="C108" s="183" t="s">
        <v>731</v>
      </c>
      <c r="D108" s="184" t="s">
        <v>760</v>
      </c>
      <c r="E108" s="261" t="s">
        <v>47</v>
      </c>
      <c r="F108" s="262">
        <v>2000</v>
      </c>
      <c r="G108" s="257"/>
      <c r="H108" s="257"/>
      <c r="I108" s="253"/>
      <c r="J108" s="257"/>
      <c r="K108" s="257"/>
      <c r="L108" s="257"/>
      <c r="M108" s="257"/>
    </row>
    <row r="109" spans="1:13" ht="33" customHeight="1">
      <c r="A109" s="60">
        <f>A108+1</f>
        <v>77</v>
      </c>
      <c r="B109" s="185" t="s">
        <v>110</v>
      </c>
      <c r="C109" s="183" t="s">
        <v>731</v>
      </c>
      <c r="D109" s="184" t="s">
        <v>760</v>
      </c>
      <c r="E109" s="261" t="s">
        <v>47</v>
      </c>
      <c r="F109" s="262">
        <v>500</v>
      </c>
      <c r="G109" s="257"/>
      <c r="H109" s="257"/>
      <c r="I109" s="253"/>
      <c r="J109" s="257"/>
      <c r="K109" s="257"/>
      <c r="L109" s="257"/>
      <c r="M109" s="257"/>
    </row>
    <row r="110" spans="1:13" ht="33" customHeight="1">
      <c r="A110" s="186">
        <f>A109+1</f>
        <v>78</v>
      </c>
      <c r="B110" s="147" t="s">
        <v>112</v>
      </c>
      <c r="C110" s="148" t="s">
        <v>731</v>
      </c>
      <c r="D110" s="149" t="s">
        <v>79</v>
      </c>
      <c r="E110" s="244" t="s">
        <v>47</v>
      </c>
      <c r="F110" s="245">
        <f>677+50</f>
        <v>727</v>
      </c>
      <c r="G110" s="10"/>
      <c r="H110" s="10"/>
      <c r="I110" s="8"/>
      <c r="J110" s="242"/>
      <c r="K110" s="242"/>
      <c r="L110" s="242"/>
      <c r="M110" s="242"/>
    </row>
    <row r="111" spans="1:13">
      <c r="A111" s="168"/>
      <c r="B111" s="154"/>
      <c r="C111" s="140"/>
      <c r="D111" s="157"/>
      <c r="E111" s="248"/>
      <c r="F111" s="249">
        <f>SUM(F108:F110)</f>
        <v>3227</v>
      </c>
      <c r="G111" s="257"/>
      <c r="H111" s="257"/>
      <c r="I111" s="253"/>
      <c r="J111" s="257"/>
      <c r="K111" s="257"/>
      <c r="L111" s="257"/>
      <c r="M111" s="257"/>
    </row>
    <row r="112" spans="1:13" ht="30" customHeight="1">
      <c r="A112" s="162">
        <f>A110+1</f>
        <v>79</v>
      </c>
      <c r="B112" s="185" t="s">
        <v>165</v>
      </c>
      <c r="C112" s="183" t="s">
        <v>166</v>
      </c>
      <c r="D112" s="184" t="s">
        <v>760</v>
      </c>
      <c r="E112" s="261" t="s">
        <v>47</v>
      </c>
      <c r="F112" s="262">
        <v>1000</v>
      </c>
      <c r="G112" s="10"/>
      <c r="H112" s="10"/>
      <c r="I112" s="8"/>
      <c r="J112" s="242"/>
      <c r="K112" s="242"/>
      <c r="L112" s="242"/>
      <c r="M112" s="242"/>
    </row>
    <row r="113" spans="1:13" ht="30" customHeight="1">
      <c r="A113" s="60">
        <f>A112+1</f>
        <v>80</v>
      </c>
      <c r="B113" s="147" t="s">
        <v>110</v>
      </c>
      <c r="C113" s="148" t="s">
        <v>166</v>
      </c>
      <c r="D113" s="149" t="s">
        <v>79</v>
      </c>
      <c r="E113" s="244" t="s">
        <v>47</v>
      </c>
      <c r="F113" s="245">
        <v>702</v>
      </c>
      <c r="G113" s="10"/>
      <c r="H113" s="10"/>
      <c r="I113" s="8"/>
      <c r="J113" s="242"/>
      <c r="K113" s="242"/>
      <c r="L113" s="242"/>
      <c r="M113" s="242"/>
    </row>
    <row r="114" spans="1:13" ht="30" customHeight="1">
      <c r="A114" s="60">
        <f>A113+1</f>
        <v>81</v>
      </c>
      <c r="B114" s="182" t="s">
        <v>83</v>
      </c>
      <c r="C114" s="183" t="s">
        <v>166</v>
      </c>
      <c r="D114" s="184" t="s">
        <v>760</v>
      </c>
      <c r="E114" s="261" t="s">
        <v>47</v>
      </c>
      <c r="F114" s="262">
        <v>500</v>
      </c>
      <c r="G114" s="10"/>
      <c r="H114" s="10"/>
      <c r="I114" s="8"/>
      <c r="J114" s="242"/>
      <c r="K114" s="242"/>
      <c r="L114" s="242"/>
      <c r="M114" s="242"/>
    </row>
    <row r="115" spans="1:13" ht="30" customHeight="1">
      <c r="A115" s="60">
        <f>A114+1</f>
        <v>82</v>
      </c>
      <c r="B115" s="147" t="s">
        <v>123</v>
      </c>
      <c r="C115" s="148" t="s">
        <v>166</v>
      </c>
      <c r="D115" s="149" t="s">
        <v>79</v>
      </c>
      <c r="E115" s="244" t="s">
        <v>47</v>
      </c>
      <c r="F115" s="245">
        <v>727</v>
      </c>
      <c r="G115" s="255"/>
      <c r="H115" s="255"/>
      <c r="I115" s="254"/>
      <c r="J115" s="255"/>
      <c r="K115" s="255"/>
      <c r="L115" s="255"/>
      <c r="M115" s="255"/>
    </row>
    <row r="116" spans="1:13">
      <c r="A116" s="168"/>
      <c r="B116" s="60"/>
      <c r="C116" s="140"/>
      <c r="D116" s="157"/>
      <c r="E116" s="248"/>
      <c r="F116" s="249">
        <f>SUM(F112:F115)</f>
        <v>2929</v>
      </c>
      <c r="G116" s="253"/>
      <c r="H116" s="253"/>
      <c r="I116" s="254"/>
      <c r="J116" s="255"/>
      <c r="K116" s="255"/>
      <c r="L116" s="255"/>
      <c r="M116" s="255"/>
    </row>
    <row r="117" spans="1:13" ht="28.5">
      <c r="A117" s="60">
        <f>A115+1</f>
        <v>83</v>
      </c>
      <c r="B117" s="187" t="s">
        <v>694</v>
      </c>
      <c r="C117" s="148" t="s">
        <v>635</v>
      </c>
      <c r="D117" s="149" t="s">
        <v>79</v>
      </c>
      <c r="E117" s="244" t="s">
        <v>47</v>
      </c>
      <c r="F117" s="245">
        <v>897</v>
      </c>
      <c r="G117" s="255"/>
      <c r="H117" s="45"/>
      <c r="I117" s="254"/>
      <c r="J117" s="255"/>
      <c r="K117" s="255"/>
      <c r="L117" s="255"/>
      <c r="M117" s="255"/>
    </row>
    <row r="118" spans="1:13" ht="28.5">
      <c r="A118" s="60">
        <f>A117+1</f>
        <v>84</v>
      </c>
      <c r="B118" s="187" t="s">
        <v>746</v>
      </c>
      <c r="C118" s="148" t="s">
        <v>635</v>
      </c>
      <c r="D118" s="149" t="s">
        <v>79</v>
      </c>
      <c r="E118" s="244" t="s">
        <v>47</v>
      </c>
      <c r="F118" s="245">
        <v>847</v>
      </c>
      <c r="G118" s="255"/>
      <c r="H118" s="45"/>
      <c r="I118" s="254"/>
      <c r="J118" s="255"/>
      <c r="K118" s="255"/>
      <c r="L118" s="255"/>
      <c r="M118" s="255"/>
    </row>
    <row r="119" spans="1:13" ht="28.5">
      <c r="A119" s="60">
        <f>A118+1</f>
        <v>85</v>
      </c>
      <c r="B119" s="161" t="s">
        <v>733</v>
      </c>
      <c r="C119" s="148" t="s">
        <v>635</v>
      </c>
      <c r="D119" s="149" t="s">
        <v>79</v>
      </c>
      <c r="E119" s="244" t="s">
        <v>47</v>
      </c>
      <c r="F119" s="245">
        <v>700</v>
      </c>
      <c r="G119" s="10"/>
      <c r="H119" s="10"/>
      <c r="I119" s="8"/>
      <c r="J119" s="242"/>
      <c r="K119" s="242"/>
      <c r="L119" s="242"/>
      <c r="M119" s="242"/>
    </row>
    <row r="120" spans="1:13" ht="28.5">
      <c r="A120" s="60">
        <f>A119+1</f>
        <v>86</v>
      </c>
      <c r="B120" s="150" t="s">
        <v>175</v>
      </c>
      <c r="C120" s="151" t="s">
        <v>635</v>
      </c>
      <c r="D120" s="152" t="s">
        <v>759</v>
      </c>
      <c r="E120" s="246" t="s">
        <v>47</v>
      </c>
      <c r="F120" s="247">
        <v>500</v>
      </c>
      <c r="G120" s="8"/>
      <c r="H120" s="8"/>
      <c r="I120" s="8"/>
      <c r="J120" s="242"/>
      <c r="K120" s="242"/>
      <c r="L120" s="242"/>
      <c r="M120" s="242"/>
    </row>
    <row r="121" spans="1:13" ht="28.5">
      <c r="A121" s="60">
        <f t="shared" ref="A121:A135" si="16">A120+1</f>
        <v>87</v>
      </c>
      <c r="B121" s="161" t="s">
        <v>177</v>
      </c>
      <c r="C121" s="148" t="s">
        <v>635</v>
      </c>
      <c r="D121" s="149" t="s">
        <v>79</v>
      </c>
      <c r="E121" s="244" t="s">
        <v>47</v>
      </c>
      <c r="F121" s="245">
        <f>582.29+30+50+50</f>
        <v>712.29</v>
      </c>
      <c r="G121" s="10"/>
      <c r="H121" s="10"/>
      <c r="I121" s="8"/>
      <c r="J121" s="242"/>
      <c r="K121" s="242"/>
      <c r="L121" s="242"/>
      <c r="M121" s="242"/>
    </row>
    <row r="122" spans="1:13" ht="28.5">
      <c r="A122" s="60">
        <f t="shared" si="16"/>
        <v>88</v>
      </c>
      <c r="B122" s="161" t="s">
        <v>177</v>
      </c>
      <c r="C122" s="148" t="s">
        <v>635</v>
      </c>
      <c r="D122" s="149" t="s">
        <v>79</v>
      </c>
      <c r="E122" s="244" t="s">
        <v>47</v>
      </c>
      <c r="F122" s="245">
        <f>547+30+50+50</f>
        <v>677</v>
      </c>
      <c r="G122" s="10"/>
      <c r="H122" s="10"/>
      <c r="I122" s="8"/>
      <c r="J122" s="242"/>
      <c r="K122" s="242"/>
      <c r="L122" s="242"/>
      <c r="M122" s="242"/>
    </row>
    <row r="123" spans="1:13" ht="28.5">
      <c r="A123" s="60">
        <f t="shared" si="16"/>
        <v>89</v>
      </c>
      <c r="B123" s="161" t="s">
        <v>177</v>
      </c>
      <c r="C123" s="148" t="s">
        <v>635</v>
      </c>
      <c r="D123" s="149" t="s">
        <v>79</v>
      </c>
      <c r="E123" s="244" t="s">
        <v>47</v>
      </c>
      <c r="F123" s="245">
        <f>547+30+50+50</f>
        <v>677</v>
      </c>
      <c r="G123" s="10"/>
      <c r="H123" s="10"/>
      <c r="I123" s="8"/>
      <c r="J123" s="242"/>
      <c r="K123" s="242"/>
      <c r="L123" s="242"/>
      <c r="M123" s="242"/>
    </row>
    <row r="124" spans="1:13" ht="28.5">
      <c r="A124" s="60">
        <f t="shared" si="16"/>
        <v>90</v>
      </c>
      <c r="B124" s="161" t="s">
        <v>181</v>
      </c>
      <c r="C124" s="148" t="s">
        <v>635</v>
      </c>
      <c r="D124" s="149" t="s">
        <v>79</v>
      </c>
      <c r="E124" s="244" t="s">
        <v>47</v>
      </c>
      <c r="F124" s="245">
        <f>467+30+50+50</f>
        <v>597</v>
      </c>
      <c r="G124" s="10"/>
      <c r="H124" s="10"/>
      <c r="I124" s="8"/>
      <c r="J124" s="242"/>
      <c r="K124" s="242"/>
      <c r="L124" s="242"/>
      <c r="M124" s="242"/>
    </row>
    <row r="125" spans="1:13" ht="28.5">
      <c r="A125" s="60">
        <f>A124+1</f>
        <v>91</v>
      </c>
      <c r="B125" s="161" t="s">
        <v>181</v>
      </c>
      <c r="C125" s="148" t="s">
        <v>635</v>
      </c>
      <c r="D125" s="149" t="s">
        <v>79</v>
      </c>
      <c r="E125" s="244" t="s">
        <v>47</v>
      </c>
      <c r="F125" s="245">
        <f>467+30+50+50</f>
        <v>597</v>
      </c>
      <c r="G125" s="10"/>
      <c r="H125" s="10"/>
      <c r="I125" s="8"/>
      <c r="J125" s="242"/>
      <c r="K125" s="242"/>
      <c r="L125" s="242"/>
      <c r="M125" s="242"/>
    </row>
    <row r="126" spans="1:13" ht="28.5">
      <c r="A126" s="60">
        <f t="shared" si="16"/>
        <v>92</v>
      </c>
      <c r="B126" s="161" t="s">
        <v>181</v>
      </c>
      <c r="C126" s="148" t="s">
        <v>635</v>
      </c>
      <c r="D126" s="149" t="s">
        <v>79</v>
      </c>
      <c r="E126" s="244" t="s">
        <v>47</v>
      </c>
      <c r="F126" s="245">
        <f>467+30+50+50</f>
        <v>597</v>
      </c>
      <c r="G126" s="242"/>
      <c r="H126" s="242"/>
      <c r="I126" s="8"/>
      <c r="J126" s="242"/>
      <c r="K126" s="242"/>
      <c r="L126" s="242"/>
      <c r="M126" s="242"/>
    </row>
    <row r="127" spans="1:13" ht="28.5">
      <c r="A127" s="60">
        <f t="shared" si="16"/>
        <v>93</v>
      </c>
      <c r="B127" s="161" t="s">
        <v>181</v>
      </c>
      <c r="C127" s="148" t="s">
        <v>635</v>
      </c>
      <c r="D127" s="149" t="s">
        <v>79</v>
      </c>
      <c r="E127" s="244" t="s">
        <v>47</v>
      </c>
      <c r="F127" s="245">
        <f>467+30+50+50</f>
        <v>597</v>
      </c>
      <c r="G127" s="242"/>
      <c r="H127" s="242"/>
      <c r="I127" s="8"/>
      <c r="J127" s="242"/>
      <c r="K127" s="242"/>
      <c r="L127" s="242"/>
      <c r="M127" s="242"/>
    </row>
    <row r="128" spans="1:13" ht="28.5">
      <c r="A128" s="60">
        <f t="shared" si="16"/>
        <v>94</v>
      </c>
      <c r="B128" s="150" t="s">
        <v>186</v>
      </c>
      <c r="C128" s="151" t="s">
        <v>635</v>
      </c>
      <c r="D128" s="152" t="s">
        <v>759</v>
      </c>
      <c r="E128" s="246" t="s">
        <v>47</v>
      </c>
      <c r="F128" s="247">
        <v>417</v>
      </c>
      <c r="G128" s="257"/>
      <c r="H128" s="257"/>
      <c r="I128" s="253"/>
      <c r="J128" s="257"/>
      <c r="K128" s="257"/>
      <c r="L128" s="257"/>
      <c r="M128" s="257"/>
    </row>
    <row r="129" spans="1:13" ht="28.5">
      <c r="A129" s="60">
        <f t="shared" si="16"/>
        <v>95</v>
      </c>
      <c r="B129" s="161" t="s">
        <v>186</v>
      </c>
      <c r="C129" s="148" t="s">
        <v>635</v>
      </c>
      <c r="D129" s="149" t="s">
        <v>79</v>
      </c>
      <c r="E129" s="244" t="s">
        <v>47</v>
      </c>
      <c r="F129" s="245">
        <f>417+30+50+50</f>
        <v>547</v>
      </c>
      <c r="G129" s="257"/>
      <c r="H129" s="257"/>
      <c r="I129" s="257"/>
      <c r="J129" s="257"/>
      <c r="K129" s="257"/>
      <c r="L129" s="257"/>
      <c r="M129" s="257"/>
    </row>
    <row r="130" spans="1:13" ht="28.5">
      <c r="A130" s="60">
        <f t="shared" si="16"/>
        <v>96</v>
      </c>
      <c r="B130" s="150" t="s">
        <v>186</v>
      </c>
      <c r="C130" s="151" t="s">
        <v>635</v>
      </c>
      <c r="D130" s="152" t="s">
        <v>759</v>
      </c>
      <c r="E130" s="246" t="s">
        <v>47</v>
      </c>
      <c r="F130" s="247">
        <v>417</v>
      </c>
      <c r="G130" s="242"/>
      <c r="H130" s="242"/>
      <c r="I130" s="8"/>
      <c r="J130" s="242"/>
      <c r="K130" s="242"/>
      <c r="L130" s="242"/>
      <c r="M130" s="242"/>
    </row>
    <row r="131" spans="1:13" ht="28.5">
      <c r="A131" s="60">
        <f t="shared" si="16"/>
        <v>97</v>
      </c>
      <c r="B131" s="188" t="s">
        <v>186</v>
      </c>
      <c r="C131" s="183" t="s">
        <v>635</v>
      </c>
      <c r="D131" s="184" t="s">
        <v>760</v>
      </c>
      <c r="E131" s="261" t="s">
        <v>47</v>
      </c>
      <c r="F131" s="262">
        <v>417</v>
      </c>
      <c r="G131" s="242"/>
      <c r="H131" s="242"/>
      <c r="I131" s="8"/>
      <c r="J131" s="242"/>
      <c r="K131" s="242"/>
      <c r="L131" s="242"/>
      <c r="M131" s="242"/>
    </row>
    <row r="132" spans="1:13" ht="28.5">
      <c r="A132" s="60">
        <f t="shared" si="16"/>
        <v>98</v>
      </c>
      <c r="B132" s="188" t="s">
        <v>186</v>
      </c>
      <c r="C132" s="183" t="s">
        <v>635</v>
      </c>
      <c r="D132" s="184" t="s">
        <v>760</v>
      </c>
      <c r="E132" s="261" t="s">
        <v>47</v>
      </c>
      <c r="F132" s="262">
        <v>417</v>
      </c>
      <c r="G132" s="242"/>
      <c r="H132" s="242"/>
      <c r="I132" s="8"/>
      <c r="J132" s="242"/>
      <c r="K132" s="242"/>
      <c r="L132" s="242"/>
      <c r="M132" s="242"/>
    </row>
    <row r="133" spans="1:13" ht="28.5">
      <c r="A133" s="189">
        <f t="shared" si="16"/>
        <v>99</v>
      </c>
      <c r="B133" s="188" t="s">
        <v>186</v>
      </c>
      <c r="C133" s="183" t="s">
        <v>635</v>
      </c>
      <c r="D133" s="184" t="s">
        <v>760</v>
      </c>
      <c r="E133" s="261" t="s">
        <v>47</v>
      </c>
      <c r="F133" s="262">
        <v>417</v>
      </c>
      <c r="G133" s="242"/>
      <c r="H133" s="242"/>
      <c r="I133" s="8"/>
      <c r="J133" s="242"/>
      <c r="K133" s="242"/>
      <c r="L133" s="242"/>
      <c r="M133" s="242"/>
    </row>
    <row r="134" spans="1:13" ht="28.5">
      <c r="A134" s="189">
        <f t="shared" si="16"/>
        <v>100</v>
      </c>
      <c r="B134" s="190" t="s">
        <v>734</v>
      </c>
      <c r="C134" s="148" t="s">
        <v>635</v>
      </c>
      <c r="D134" s="191" t="s">
        <v>79</v>
      </c>
      <c r="E134" s="263" t="s">
        <v>47</v>
      </c>
      <c r="F134" s="264">
        <f>667+50</f>
        <v>717</v>
      </c>
      <c r="G134" s="242"/>
      <c r="H134" s="242"/>
      <c r="I134" s="8"/>
      <c r="J134" s="242"/>
      <c r="K134" s="242"/>
      <c r="L134" s="242"/>
      <c r="M134" s="242"/>
    </row>
    <row r="135" spans="1:13" ht="28.5">
      <c r="A135" s="60">
        <f t="shared" si="16"/>
        <v>101</v>
      </c>
      <c r="B135" s="190" t="s">
        <v>783</v>
      </c>
      <c r="C135" s="148" t="s">
        <v>635</v>
      </c>
      <c r="D135" s="191" t="s">
        <v>79</v>
      </c>
      <c r="E135" s="263" t="s">
        <v>47</v>
      </c>
      <c r="F135" s="264">
        <f>685.15+50</f>
        <v>735.15</v>
      </c>
      <c r="G135" s="242"/>
      <c r="H135" s="242"/>
      <c r="I135" s="8"/>
      <c r="J135" s="242"/>
      <c r="K135" s="242"/>
      <c r="L135" s="242"/>
      <c r="M135" s="242"/>
    </row>
    <row r="136" spans="1:13">
      <c r="A136" s="168"/>
      <c r="B136" s="138"/>
      <c r="C136" s="176"/>
      <c r="D136" s="157"/>
      <c r="E136" s="248"/>
      <c r="F136" s="249">
        <f>SUM(F117:F135)</f>
        <v>11482.44</v>
      </c>
      <c r="G136" s="10"/>
      <c r="H136" s="10"/>
      <c r="I136" s="8"/>
      <c r="J136" s="242"/>
      <c r="K136" s="242"/>
      <c r="L136" s="242"/>
      <c r="M136" s="242"/>
    </row>
    <row r="137" spans="1:13" ht="31.5" customHeight="1">
      <c r="A137" s="60">
        <f>A135+1</f>
        <v>102</v>
      </c>
      <c r="B137" s="147" t="s">
        <v>128</v>
      </c>
      <c r="C137" s="148" t="s">
        <v>129</v>
      </c>
      <c r="D137" s="149" t="s">
        <v>79</v>
      </c>
      <c r="E137" s="244" t="s">
        <v>47</v>
      </c>
      <c r="F137" s="245">
        <f>675+50</f>
        <v>725</v>
      </c>
      <c r="G137" s="242"/>
      <c r="H137" s="242"/>
      <c r="I137" s="8"/>
      <c r="J137" s="242"/>
      <c r="K137" s="242"/>
      <c r="L137" s="242"/>
      <c r="M137" s="242"/>
    </row>
    <row r="138" spans="1:13">
      <c r="A138" s="168"/>
      <c r="B138" s="155"/>
      <c r="C138" s="140"/>
      <c r="D138" s="157"/>
      <c r="E138" s="248"/>
      <c r="F138" s="249">
        <f>SUM(F137)</f>
        <v>725</v>
      </c>
      <c r="G138" s="242"/>
      <c r="H138" s="242"/>
      <c r="I138" s="8"/>
      <c r="J138" s="242"/>
      <c r="K138" s="242"/>
      <c r="L138" s="242"/>
      <c r="M138" s="242"/>
    </row>
    <row r="139" spans="1:13" ht="36" customHeight="1">
      <c r="A139" s="60">
        <f>A137+1</f>
        <v>103</v>
      </c>
      <c r="B139" s="163" t="s">
        <v>695</v>
      </c>
      <c r="C139" s="148" t="s">
        <v>657</v>
      </c>
      <c r="D139" s="149" t="s">
        <v>79</v>
      </c>
      <c r="E139" s="244" t="s">
        <v>47</v>
      </c>
      <c r="F139" s="245">
        <f>734.86+30+50</f>
        <v>814.86</v>
      </c>
      <c r="G139" s="242"/>
      <c r="H139" s="242"/>
      <c r="I139" s="8"/>
      <c r="J139" s="242"/>
      <c r="K139" s="242"/>
      <c r="L139" s="242"/>
      <c r="M139" s="242"/>
    </row>
    <row r="140" spans="1:13" ht="38.25" customHeight="1">
      <c r="A140" s="60">
        <f>A139+1</f>
        <v>104</v>
      </c>
      <c r="B140" s="147" t="s">
        <v>135</v>
      </c>
      <c r="C140" s="148" t="s">
        <v>657</v>
      </c>
      <c r="D140" s="149" t="s">
        <v>79</v>
      </c>
      <c r="E140" s="244" t="s">
        <v>47</v>
      </c>
      <c r="F140" s="245">
        <f>605+30+50+50</f>
        <v>735</v>
      </c>
      <c r="G140" s="10"/>
      <c r="H140" s="10"/>
      <c r="I140" s="8"/>
      <c r="J140" s="242"/>
      <c r="K140" s="242"/>
      <c r="L140" s="242"/>
      <c r="M140" s="242"/>
    </row>
    <row r="141" spans="1:13" ht="36.75" customHeight="1">
      <c r="A141" s="60">
        <f>A140+1</f>
        <v>105</v>
      </c>
      <c r="B141" s="147" t="s">
        <v>137</v>
      </c>
      <c r="C141" s="148" t="s">
        <v>657</v>
      </c>
      <c r="D141" s="149" t="s">
        <v>79</v>
      </c>
      <c r="E141" s="244" t="s">
        <v>47</v>
      </c>
      <c r="F141" s="245">
        <f>477+30+50+50</f>
        <v>607</v>
      </c>
      <c r="G141" s="242"/>
      <c r="H141" s="242"/>
      <c r="I141" s="8"/>
      <c r="J141" s="242"/>
      <c r="K141" s="242"/>
      <c r="L141" s="242"/>
      <c r="M141" s="242"/>
    </row>
    <row r="142" spans="1:13">
      <c r="A142" s="168"/>
      <c r="B142" s="155"/>
      <c r="C142" s="156"/>
      <c r="D142" s="157"/>
      <c r="E142" s="248"/>
      <c r="F142" s="249">
        <f>SUM(F139:F141)</f>
        <v>2156.86</v>
      </c>
      <c r="G142" s="250"/>
      <c r="H142" s="250"/>
      <c r="I142" s="250"/>
      <c r="J142" s="250"/>
      <c r="K142" s="250"/>
      <c r="L142" s="250"/>
      <c r="M142" s="250"/>
    </row>
    <row r="143" spans="1:13" ht="63.75" customHeight="1">
      <c r="A143" s="60">
        <f>A141+1</f>
        <v>106</v>
      </c>
      <c r="B143" s="192" t="s">
        <v>191</v>
      </c>
      <c r="C143" s="151" t="s">
        <v>192</v>
      </c>
      <c r="D143" s="152" t="s">
        <v>759</v>
      </c>
      <c r="E143" s="246" t="s">
        <v>47</v>
      </c>
      <c r="F143" s="247">
        <v>1000</v>
      </c>
      <c r="G143" s="10"/>
      <c r="H143" s="10"/>
      <c r="I143" s="8"/>
      <c r="J143" s="242"/>
      <c r="K143" s="242"/>
      <c r="L143" s="242"/>
      <c r="M143" s="242"/>
    </row>
    <row r="144" spans="1:13" ht="57.75" customHeight="1">
      <c r="A144" s="60">
        <f>A143+1</f>
        <v>107</v>
      </c>
      <c r="B144" s="147" t="s">
        <v>684</v>
      </c>
      <c r="C144" s="148" t="s">
        <v>192</v>
      </c>
      <c r="D144" s="149" t="s">
        <v>79</v>
      </c>
      <c r="E144" s="244" t="s">
        <v>47</v>
      </c>
      <c r="F144" s="245">
        <v>600</v>
      </c>
      <c r="G144" s="10"/>
      <c r="H144" s="10"/>
      <c r="I144" s="8"/>
      <c r="J144" s="242"/>
      <c r="K144" s="242"/>
      <c r="L144" s="242"/>
      <c r="M144" s="242"/>
    </row>
    <row r="145" spans="1:13" ht="66" customHeight="1">
      <c r="A145" s="60">
        <f>A144+1</f>
        <v>108</v>
      </c>
      <c r="B145" s="163" t="s">
        <v>683</v>
      </c>
      <c r="C145" s="148" t="s">
        <v>192</v>
      </c>
      <c r="D145" s="149" t="s">
        <v>79</v>
      </c>
      <c r="E145" s="244" t="s">
        <v>47</v>
      </c>
      <c r="F145" s="245">
        <f>712+30+50+50</f>
        <v>842</v>
      </c>
      <c r="G145" s="10"/>
      <c r="H145" s="10"/>
      <c r="I145" s="8"/>
      <c r="J145" s="242"/>
      <c r="K145" s="242"/>
      <c r="L145" s="242"/>
      <c r="M145" s="242"/>
    </row>
    <row r="146" spans="1:13" ht="63" customHeight="1">
      <c r="A146" s="60">
        <f>A145+1</f>
        <v>109</v>
      </c>
      <c r="B146" s="163" t="s">
        <v>747</v>
      </c>
      <c r="C146" s="148" t="s">
        <v>192</v>
      </c>
      <c r="D146" s="149" t="s">
        <v>79</v>
      </c>
      <c r="E146" s="244" t="s">
        <v>47</v>
      </c>
      <c r="F146" s="245">
        <v>792</v>
      </c>
      <c r="G146" s="8"/>
      <c r="H146" s="8"/>
      <c r="I146" s="8"/>
      <c r="J146" s="242"/>
      <c r="K146" s="242"/>
      <c r="L146" s="242"/>
      <c r="M146" s="242"/>
    </row>
    <row r="147" spans="1:13" ht="65.25" customHeight="1">
      <c r="A147" s="60">
        <f>A146+1</f>
        <v>110</v>
      </c>
      <c r="B147" s="163" t="s">
        <v>705</v>
      </c>
      <c r="C147" s="148" t="s">
        <v>192</v>
      </c>
      <c r="D147" s="149" t="s">
        <v>79</v>
      </c>
      <c r="E147" s="244" t="s">
        <v>47</v>
      </c>
      <c r="F147" s="245">
        <f>500+50</f>
        <v>550</v>
      </c>
      <c r="G147" s="8"/>
      <c r="H147" s="8"/>
      <c r="I147" s="8"/>
      <c r="J147" s="242"/>
      <c r="K147" s="242"/>
      <c r="L147" s="242"/>
      <c r="M147" s="242"/>
    </row>
    <row r="148" spans="1:13" ht="64.5" customHeight="1">
      <c r="A148" s="60">
        <f>A147+1</f>
        <v>111</v>
      </c>
      <c r="B148" s="185" t="s">
        <v>705</v>
      </c>
      <c r="C148" s="183" t="s">
        <v>192</v>
      </c>
      <c r="D148" s="184" t="s">
        <v>760</v>
      </c>
      <c r="E148" s="261" t="s">
        <v>47</v>
      </c>
      <c r="F148" s="262">
        <v>500</v>
      </c>
      <c r="G148" s="8"/>
      <c r="H148" s="8"/>
      <c r="I148" s="8"/>
      <c r="J148" s="242"/>
      <c r="K148" s="242"/>
      <c r="L148" s="242"/>
      <c r="M148" s="242"/>
    </row>
    <row r="149" spans="1:13">
      <c r="A149" s="168"/>
      <c r="B149" s="155"/>
      <c r="C149" s="156"/>
      <c r="D149" s="157"/>
      <c r="E149" s="248"/>
      <c r="F149" s="249">
        <f>SUM(F143:F148)</f>
        <v>4284</v>
      </c>
      <c r="G149" s="250"/>
      <c r="H149" s="250"/>
      <c r="I149" s="250"/>
      <c r="J149" s="250"/>
      <c r="K149" s="250"/>
      <c r="L149" s="250"/>
      <c r="M149" s="250"/>
    </row>
    <row r="150" spans="1:13">
      <c r="A150" s="60"/>
      <c r="B150" s="423" t="s">
        <v>636</v>
      </c>
      <c r="C150" s="424"/>
      <c r="D150" s="425"/>
      <c r="E150" s="265"/>
      <c r="F150" s="304">
        <f>SUM(F111,F149,F142,F138,F136,F116,F107,F104,F101,F96,F89,F46,F43,F38,F35,F30,F26,F23)</f>
        <v>80055.75</v>
      </c>
      <c r="G150" s="305">
        <f t="shared" ref="G150:M150" si="17">SUM(G23+G26+G30+G35+G38+G46+G89+G96+G101+G104+G111+G116+G136+G138+G142+G149+G107)</f>
        <v>3437.4575000000032</v>
      </c>
      <c r="H150" s="305">
        <f t="shared" si="17"/>
        <v>217.77811249999985</v>
      </c>
      <c r="I150" s="305">
        <f t="shared" si="17"/>
        <v>37.674349999999997</v>
      </c>
      <c r="J150" s="305">
        <f t="shared" si="17"/>
        <v>0</v>
      </c>
      <c r="K150" s="305">
        <f t="shared" si="17"/>
        <v>257.85006249999998</v>
      </c>
      <c r="L150" s="305">
        <f t="shared" si="17"/>
        <v>34.514674999999997</v>
      </c>
      <c r="M150" s="305">
        <f t="shared" si="17"/>
        <v>3985.2746999999963</v>
      </c>
    </row>
    <row r="151" spans="1:13" ht="19.5">
      <c r="A151" s="60">
        <f>A148+1</f>
        <v>112</v>
      </c>
      <c r="B151" s="147" t="s">
        <v>207</v>
      </c>
      <c r="C151" s="148" t="s">
        <v>208</v>
      </c>
      <c r="D151" s="149" t="s">
        <v>79</v>
      </c>
      <c r="E151" s="244" t="s">
        <v>209</v>
      </c>
      <c r="F151" s="267">
        <v>1900</v>
      </c>
      <c r="G151" s="10"/>
      <c r="H151" s="10"/>
      <c r="I151" s="8"/>
      <c r="J151" s="242"/>
      <c r="K151" s="242"/>
      <c r="L151" s="242"/>
      <c r="M151" s="242"/>
    </row>
    <row r="152" spans="1:13" ht="19.5">
      <c r="A152" s="60">
        <f>A151+1</f>
        <v>113</v>
      </c>
      <c r="B152" s="147" t="s">
        <v>211</v>
      </c>
      <c r="C152" s="148" t="s">
        <v>208</v>
      </c>
      <c r="D152" s="149" t="s">
        <v>79</v>
      </c>
      <c r="E152" s="244" t="s">
        <v>209</v>
      </c>
      <c r="F152" s="267">
        <f>417+30+50+50</f>
        <v>547</v>
      </c>
      <c r="G152" s="242"/>
      <c r="H152" s="242"/>
      <c r="I152" s="8"/>
      <c r="J152" s="242"/>
      <c r="K152" s="242"/>
      <c r="L152" s="242"/>
      <c r="M152" s="242"/>
    </row>
    <row r="153" spans="1:13" ht="19.5">
      <c r="A153" s="60">
        <f>A152+1</f>
        <v>114</v>
      </c>
      <c r="B153" s="147" t="s">
        <v>213</v>
      </c>
      <c r="C153" s="148" t="s">
        <v>208</v>
      </c>
      <c r="D153" s="149" t="s">
        <v>79</v>
      </c>
      <c r="E153" s="244" t="s">
        <v>209</v>
      </c>
      <c r="F153" s="267">
        <f>597+30+50+50</f>
        <v>727</v>
      </c>
      <c r="G153" s="10"/>
      <c r="H153" s="10"/>
      <c r="I153" s="8"/>
      <c r="J153" s="242"/>
      <c r="K153" s="242"/>
      <c r="L153" s="242"/>
      <c r="M153" s="242"/>
    </row>
    <row r="154" spans="1:13" ht="19.5">
      <c r="A154" s="60">
        <f>A153+1</f>
        <v>115</v>
      </c>
      <c r="B154" s="147" t="s">
        <v>637</v>
      </c>
      <c r="C154" s="148" t="s">
        <v>208</v>
      </c>
      <c r="D154" s="149" t="s">
        <v>79</v>
      </c>
      <c r="E154" s="244" t="s">
        <v>209</v>
      </c>
      <c r="F154" s="267">
        <f>417+30+50+50+50</f>
        <v>597</v>
      </c>
      <c r="G154" s="255"/>
      <c r="H154" s="255"/>
      <c r="I154" s="254"/>
      <c r="J154" s="255"/>
      <c r="K154" s="255"/>
      <c r="L154" s="255"/>
      <c r="M154" s="255"/>
    </row>
    <row r="155" spans="1:13">
      <c r="A155" s="168"/>
      <c r="B155" s="155"/>
      <c r="C155" s="140"/>
      <c r="D155" s="157"/>
      <c r="E155" s="248"/>
      <c r="F155" s="268"/>
      <c r="G155" s="255"/>
      <c r="H155" s="255"/>
      <c r="I155" s="254"/>
      <c r="J155" s="255"/>
      <c r="K155" s="255"/>
      <c r="L155" s="255"/>
      <c r="M155" s="255"/>
    </row>
    <row r="156" spans="1:13" ht="19.5">
      <c r="A156" s="60">
        <f>A154+1</f>
        <v>116</v>
      </c>
      <c r="B156" s="147" t="s">
        <v>217</v>
      </c>
      <c r="C156" s="148" t="s">
        <v>208</v>
      </c>
      <c r="D156" s="149" t="s">
        <v>79</v>
      </c>
      <c r="E156" s="244" t="s">
        <v>209</v>
      </c>
      <c r="F156" s="267">
        <v>800</v>
      </c>
      <c r="G156" s="253"/>
      <c r="H156" s="253"/>
      <c r="I156" s="254"/>
      <c r="J156" s="255"/>
      <c r="K156" s="255"/>
      <c r="L156" s="255"/>
      <c r="M156" s="255"/>
    </row>
    <row r="157" spans="1:13">
      <c r="A157" s="60">
        <f>A156+1</f>
        <v>117</v>
      </c>
      <c r="B157" s="182" t="s">
        <v>638</v>
      </c>
      <c r="C157" s="183" t="s">
        <v>208</v>
      </c>
      <c r="D157" s="184" t="s">
        <v>760</v>
      </c>
      <c r="E157" s="261" t="s">
        <v>209</v>
      </c>
      <c r="F157" s="269">
        <v>417</v>
      </c>
      <c r="G157" s="255"/>
      <c r="H157" s="255"/>
      <c r="I157" s="254"/>
      <c r="J157" s="255"/>
      <c r="K157" s="255"/>
      <c r="L157" s="255"/>
      <c r="M157" s="255"/>
    </row>
    <row r="158" spans="1:13">
      <c r="A158" s="168"/>
      <c r="B158" s="155"/>
      <c r="C158" s="156"/>
      <c r="D158" s="156"/>
      <c r="E158" s="248"/>
      <c r="F158" s="268">
        <f>SUM(F151:F157)</f>
        <v>4988</v>
      </c>
      <c r="G158" s="250"/>
      <c r="H158" s="250"/>
      <c r="I158" s="250"/>
      <c r="J158" s="250"/>
      <c r="K158" s="250"/>
      <c r="L158" s="250"/>
      <c r="M158" s="250"/>
    </row>
    <row r="159" spans="1:13" ht="19.5">
      <c r="A159" s="60">
        <f>A157+1</f>
        <v>118</v>
      </c>
      <c r="B159" s="147" t="s">
        <v>222</v>
      </c>
      <c r="C159" s="148" t="s">
        <v>223</v>
      </c>
      <c r="D159" s="149" t="s">
        <v>79</v>
      </c>
      <c r="E159" s="244" t="s">
        <v>209</v>
      </c>
      <c r="F159" s="267">
        <v>1100</v>
      </c>
      <c r="G159" s="8"/>
      <c r="H159" s="8"/>
      <c r="I159" s="8"/>
      <c r="J159" s="242"/>
      <c r="K159" s="242"/>
      <c r="L159" s="242"/>
      <c r="M159" s="242"/>
    </row>
    <row r="160" spans="1:13" ht="19.5">
      <c r="A160" s="60">
        <f>A159+1</f>
        <v>119</v>
      </c>
      <c r="B160" s="147" t="s">
        <v>696</v>
      </c>
      <c r="C160" s="148" t="s">
        <v>223</v>
      </c>
      <c r="D160" s="149" t="s">
        <v>79</v>
      </c>
      <c r="E160" s="244" t="s">
        <v>209</v>
      </c>
      <c r="F160" s="267">
        <v>1000</v>
      </c>
      <c r="G160" s="255"/>
      <c r="H160" s="255"/>
      <c r="I160" s="254"/>
      <c r="J160" s="255"/>
      <c r="K160" s="255"/>
      <c r="L160" s="255"/>
      <c r="M160" s="255"/>
    </row>
    <row r="161" spans="1:13" ht="19.5">
      <c r="A161" s="60">
        <f>A160+1</f>
        <v>120</v>
      </c>
      <c r="B161" s="163" t="s">
        <v>225</v>
      </c>
      <c r="C161" s="148" t="s">
        <v>223</v>
      </c>
      <c r="D161" s="149" t="s">
        <v>79</v>
      </c>
      <c r="E161" s="244" t="s">
        <v>209</v>
      </c>
      <c r="F161" s="267">
        <f>627+50</f>
        <v>677</v>
      </c>
      <c r="G161" s="8"/>
      <c r="H161" s="8"/>
      <c r="I161" s="8"/>
      <c r="J161" s="242"/>
      <c r="K161" s="242"/>
      <c r="L161" s="242"/>
      <c r="M161" s="242"/>
    </row>
    <row r="162" spans="1:13" ht="19.5">
      <c r="A162" s="60">
        <f>A161+1</f>
        <v>121</v>
      </c>
      <c r="B162" s="163" t="s">
        <v>227</v>
      </c>
      <c r="C162" s="148" t="s">
        <v>223</v>
      </c>
      <c r="D162" s="149" t="s">
        <v>79</v>
      </c>
      <c r="E162" s="244" t="s">
        <v>209</v>
      </c>
      <c r="F162" s="267">
        <v>725</v>
      </c>
      <c r="G162" s="8"/>
      <c r="H162" s="8"/>
      <c r="I162" s="8"/>
      <c r="J162" s="242"/>
      <c r="K162" s="242"/>
      <c r="L162" s="242"/>
      <c r="M162" s="242"/>
    </row>
    <row r="163" spans="1:13">
      <c r="A163" s="60">
        <f>A162+1</f>
        <v>122</v>
      </c>
      <c r="B163" s="185" t="s">
        <v>229</v>
      </c>
      <c r="C163" s="183" t="s">
        <v>223</v>
      </c>
      <c r="D163" s="184" t="s">
        <v>760</v>
      </c>
      <c r="E163" s="261" t="s">
        <v>209</v>
      </c>
      <c r="F163" s="269">
        <v>600</v>
      </c>
      <c r="G163" s="254"/>
      <c r="H163" s="254"/>
      <c r="I163" s="254"/>
      <c r="J163" s="255"/>
      <c r="K163" s="255"/>
      <c r="L163" s="255"/>
      <c r="M163" s="255"/>
    </row>
    <row r="164" spans="1:13" ht="19.5">
      <c r="A164" s="60">
        <f t="shared" ref="A164:A176" si="18">A163+1</f>
        <v>123</v>
      </c>
      <c r="B164" s="163" t="s">
        <v>231</v>
      </c>
      <c r="C164" s="148" t="s">
        <v>223</v>
      </c>
      <c r="D164" s="149" t="s">
        <v>79</v>
      </c>
      <c r="E164" s="244" t="s">
        <v>209</v>
      </c>
      <c r="F164" s="267">
        <f>615</f>
        <v>615</v>
      </c>
      <c r="G164" s="8"/>
      <c r="H164" s="8"/>
      <c r="I164" s="8"/>
      <c r="J164" s="242"/>
      <c r="K164" s="242"/>
      <c r="L164" s="242"/>
      <c r="M164" s="242"/>
    </row>
    <row r="165" spans="1:13" ht="19.5">
      <c r="A165" s="60">
        <f t="shared" si="18"/>
        <v>124</v>
      </c>
      <c r="B165" s="163" t="s">
        <v>233</v>
      </c>
      <c r="C165" s="148" t="s">
        <v>223</v>
      </c>
      <c r="D165" s="149" t="s">
        <v>79</v>
      </c>
      <c r="E165" s="244" t="s">
        <v>209</v>
      </c>
      <c r="F165" s="267">
        <f>572+30+50+50</f>
        <v>702</v>
      </c>
      <c r="G165" s="242"/>
      <c r="H165" s="242"/>
      <c r="I165" s="8"/>
      <c r="J165" s="242"/>
      <c r="K165" s="242"/>
      <c r="L165" s="242"/>
      <c r="M165" s="242"/>
    </row>
    <row r="166" spans="1:13" ht="19.5">
      <c r="A166" s="60">
        <f t="shared" si="18"/>
        <v>125</v>
      </c>
      <c r="B166" s="163" t="s">
        <v>639</v>
      </c>
      <c r="C166" s="148" t="s">
        <v>223</v>
      </c>
      <c r="D166" s="149" t="s">
        <v>79</v>
      </c>
      <c r="E166" s="244" t="s">
        <v>209</v>
      </c>
      <c r="F166" s="267">
        <f>645+30+50+50</f>
        <v>775</v>
      </c>
      <c r="G166" s="242"/>
      <c r="H166" s="242"/>
      <c r="I166" s="8"/>
      <c r="J166" s="242"/>
      <c r="K166" s="242"/>
      <c r="L166" s="242"/>
      <c r="M166" s="242"/>
    </row>
    <row r="167" spans="1:13" ht="19.5">
      <c r="A167" s="60">
        <f t="shared" si="18"/>
        <v>126</v>
      </c>
      <c r="B167" s="163" t="s">
        <v>237</v>
      </c>
      <c r="C167" s="148" t="s">
        <v>223</v>
      </c>
      <c r="D167" s="149" t="s">
        <v>79</v>
      </c>
      <c r="E167" s="244" t="s">
        <v>209</v>
      </c>
      <c r="F167" s="267">
        <f>517+50+30</f>
        <v>597</v>
      </c>
      <c r="G167" s="242"/>
      <c r="H167" s="242"/>
      <c r="I167" s="8"/>
      <c r="J167" s="242"/>
      <c r="K167" s="242"/>
      <c r="L167" s="242"/>
      <c r="M167" s="242"/>
    </row>
    <row r="168" spans="1:13" ht="19.5">
      <c r="A168" s="60">
        <f t="shared" si="18"/>
        <v>127</v>
      </c>
      <c r="B168" s="163" t="s">
        <v>239</v>
      </c>
      <c r="C168" s="148" t="s">
        <v>223</v>
      </c>
      <c r="D168" s="149" t="s">
        <v>79</v>
      </c>
      <c r="E168" s="244" t="s">
        <v>209</v>
      </c>
      <c r="F168" s="267">
        <v>700</v>
      </c>
      <c r="G168" s="8"/>
      <c r="H168" s="8"/>
      <c r="I168" s="8"/>
      <c r="J168" s="242"/>
      <c r="K168" s="242"/>
      <c r="L168" s="242"/>
      <c r="M168" s="242"/>
    </row>
    <row r="169" spans="1:13" ht="19.5">
      <c r="A169" s="60">
        <f t="shared" si="18"/>
        <v>128</v>
      </c>
      <c r="B169" s="163" t="s">
        <v>241</v>
      </c>
      <c r="C169" s="148" t="s">
        <v>223</v>
      </c>
      <c r="D169" s="149" t="s">
        <v>79</v>
      </c>
      <c r="E169" s="244" t="s">
        <v>209</v>
      </c>
      <c r="F169" s="267">
        <f>417+30+50+50</f>
        <v>547</v>
      </c>
      <c r="G169" s="242"/>
      <c r="H169" s="242"/>
      <c r="I169" s="8"/>
      <c r="J169" s="242"/>
      <c r="K169" s="242"/>
      <c r="L169" s="242"/>
      <c r="M169" s="242"/>
    </row>
    <row r="170" spans="1:13" ht="19.5">
      <c r="A170" s="60">
        <f t="shared" si="18"/>
        <v>129</v>
      </c>
      <c r="B170" s="163" t="s">
        <v>243</v>
      </c>
      <c r="C170" s="148" t="s">
        <v>223</v>
      </c>
      <c r="D170" s="149" t="s">
        <v>79</v>
      </c>
      <c r="E170" s="244" t="s">
        <v>209</v>
      </c>
      <c r="F170" s="267">
        <f>417+50+50</f>
        <v>517</v>
      </c>
      <c r="G170" s="8"/>
      <c r="H170" s="8"/>
      <c r="I170" s="8"/>
      <c r="J170" s="242"/>
      <c r="K170" s="242"/>
      <c r="L170" s="242"/>
      <c r="M170" s="242"/>
    </row>
    <row r="171" spans="1:13" ht="19.5">
      <c r="A171" s="60">
        <f t="shared" si="18"/>
        <v>130</v>
      </c>
      <c r="B171" s="163" t="s">
        <v>245</v>
      </c>
      <c r="C171" s="148" t="s">
        <v>223</v>
      </c>
      <c r="D171" s="149" t="s">
        <v>79</v>
      </c>
      <c r="E171" s="244" t="s">
        <v>209</v>
      </c>
      <c r="F171" s="267">
        <f>697+30+50+50</f>
        <v>827</v>
      </c>
      <c r="G171" s="242"/>
      <c r="H171" s="242"/>
      <c r="I171" s="8"/>
      <c r="J171" s="242"/>
      <c r="K171" s="242"/>
      <c r="L171" s="242"/>
      <c r="M171" s="242"/>
    </row>
    <row r="172" spans="1:13" ht="19.5">
      <c r="A172" s="60">
        <f t="shared" si="18"/>
        <v>131</v>
      </c>
      <c r="B172" s="163" t="s">
        <v>247</v>
      </c>
      <c r="C172" s="148" t="s">
        <v>223</v>
      </c>
      <c r="D172" s="149" t="s">
        <v>79</v>
      </c>
      <c r="E172" s="244" t="s">
        <v>209</v>
      </c>
      <c r="F172" s="267">
        <f>567+30+50+50</f>
        <v>697</v>
      </c>
      <c r="G172" s="242"/>
      <c r="H172" s="242"/>
      <c r="I172" s="8"/>
      <c r="J172" s="242"/>
      <c r="K172" s="242"/>
      <c r="L172" s="242"/>
      <c r="M172" s="242"/>
    </row>
    <row r="173" spans="1:13" ht="19.5">
      <c r="A173" s="60">
        <f>A172+1</f>
        <v>132</v>
      </c>
      <c r="B173" s="227" t="s">
        <v>247</v>
      </c>
      <c r="C173" s="148" t="s">
        <v>223</v>
      </c>
      <c r="D173" s="149" t="s">
        <v>79</v>
      </c>
      <c r="E173" s="244" t="s">
        <v>209</v>
      </c>
      <c r="F173" s="267">
        <v>800</v>
      </c>
      <c r="G173" s="242"/>
      <c r="H173" s="242"/>
      <c r="I173" s="8"/>
      <c r="J173" s="242"/>
      <c r="K173" s="242"/>
      <c r="L173" s="242"/>
      <c r="M173" s="242"/>
    </row>
    <row r="174" spans="1:13" ht="19.5">
      <c r="A174" s="60">
        <f t="shared" si="18"/>
        <v>133</v>
      </c>
      <c r="B174" s="163" t="s">
        <v>249</v>
      </c>
      <c r="C174" s="148" t="s">
        <v>223</v>
      </c>
      <c r="D174" s="149" t="s">
        <v>79</v>
      </c>
      <c r="E174" s="244" t="s">
        <v>209</v>
      </c>
      <c r="F174" s="267">
        <f>467+30+50+50</f>
        <v>597</v>
      </c>
      <c r="G174" s="255"/>
      <c r="H174" s="255"/>
      <c r="I174" s="254"/>
      <c r="J174" s="255"/>
      <c r="K174" s="255"/>
      <c r="L174" s="255"/>
      <c r="M174" s="255"/>
    </row>
    <row r="175" spans="1:13" ht="19.5">
      <c r="A175" s="60">
        <f t="shared" si="18"/>
        <v>134</v>
      </c>
      <c r="B175" s="163" t="s">
        <v>640</v>
      </c>
      <c r="C175" s="148" t="s">
        <v>223</v>
      </c>
      <c r="D175" s="149" t="s">
        <v>79</v>
      </c>
      <c r="E175" s="244" t="s">
        <v>209</v>
      </c>
      <c r="F175" s="267">
        <f>645+30+50+50</f>
        <v>775</v>
      </c>
      <c r="G175" s="242"/>
      <c r="H175" s="242"/>
      <c r="I175" s="8"/>
      <c r="J175" s="242"/>
      <c r="K175" s="242"/>
      <c r="L175" s="242"/>
      <c r="M175" s="242"/>
    </row>
    <row r="176" spans="1:13" ht="19.5">
      <c r="A176" s="60">
        <f t="shared" si="18"/>
        <v>135</v>
      </c>
      <c r="B176" s="163" t="s">
        <v>253</v>
      </c>
      <c r="C176" s="148" t="s">
        <v>223</v>
      </c>
      <c r="D176" s="149" t="s">
        <v>79</v>
      </c>
      <c r="E176" s="244" t="s">
        <v>209</v>
      </c>
      <c r="F176" s="267">
        <f>467+30+50+50</f>
        <v>597</v>
      </c>
      <c r="G176" s="242"/>
      <c r="H176" s="242"/>
      <c r="I176" s="8"/>
      <c r="J176" s="242"/>
      <c r="K176" s="242"/>
      <c r="L176" s="242"/>
      <c r="M176" s="242"/>
    </row>
    <row r="177" spans="1:13" ht="19.5">
      <c r="A177" s="60">
        <f>A176+1</f>
        <v>136</v>
      </c>
      <c r="B177" s="163" t="s">
        <v>256</v>
      </c>
      <c r="C177" s="148" t="s">
        <v>223</v>
      </c>
      <c r="D177" s="149" t="s">
        <v>79</v>
      </c>
      <c r="E177" s="244" t="s">
        <v>209</v>
      </c>
      <c r="F177" s="267">
        <f>417+50+50</f>
        <v>517</v>
      </c>
      <c r="G177" s="242"/>
      <c r="H177" s="242"/>
      <c r="I177" s="8"/>
      <c r="J177" s="242"/>
      <c r="K177" s="242"/>
      <c r="L177" s="242"/>
      <c r="M177" s="242"/>
    </row>
    <row r="178" spans="1:13">
      <c r="A178" s="60">
        <f>A177+1</f>
        <v>137</v>
      </c>
      <c r="B178" s="185" t="s">
        <v>706</v>
      </c>
      <c r="C178" s="183" t="s">
        <v>223</v>
      </c>
      <c r="D178" s="184" t="s">
        <v>760</v>
      </c>
      <c r="E178" s="261" t="s">
        <v>209</v>
      </c>
      <c r="F178" s="269">
        <v>417</v>
      </c>
      <c r="G178" s="242"/>
      <c r="H178" s="242"/>
      <c r="I178" s="8"/>
      <c r="J178" s="242"/>
      <c r="K178" s="242"/>
      <c r="L178" s="242"/>
      <c r="M178" s="242"/>
    </row>
    <row r="179" spans="1:13">
      <c r="A179" s="60"/>
      <c r="B179" s="22"/>
      <c r="C179" s="156"/>
      <c r="D179" s="157"/>
      <c r="E179" s="248"/>
      <c r="F179" s="268">
        <f>SUM(F159:F178)</f>
        <v>13782</v>
      </c>
      <c r="G179" s="250"/>
      <c r="H179" s="250"/>
      <c r="I179" s="250"/>
      <c r="J179" s="250"/>
      <c r="K179" s="250"/>
      <c r="L179" s="250"/>
      <c r="M179" s="250"/>
    </row>
    <row r="180" spans="1:13">
      <c r="A180" s="60">
        <f>A178+1</f>
        <v>138</v>
      </c>
      <c r="B180" s="182" t="s">
        <v>679</v>
      </c>
      <c r="C180" s="194" t="s">
        <v>748</v>
      </c>
      <c r="D180" s="184" t="s">
        <v>760</v>
      </c>
      <c r="E180" s="261" t="s">
        <v>209</v>
      </c>
      <c r="F180" s="269">
        <v>700</v>
      </c>
      <c r="G180" s="250"/>
      <c r="H180" s="250"/>
      <c r="I180" s="250"/>
      <c r="J180" s="250"/>
      <c r="K180" s="250"/>
      <c r="L180" s="250"/>
      <c r="M180" s="250"/>
    </row>
    <row r="181" spans="1:13">
      <c r="A181" s="60">
        <f>A180+1</f>
        <v>139</v>
      </c>
      <c r="B181" s="182" t="s">
        <v>91</v>
      </c>
      <c r="C181" s="194" t="s">
        <v>748</v>
      </c>
      <c r="D181" s="184" t="s">
        <v>760</v>
      </c>
      <c r="E181" s="261" t="s">
        <v>209</v>
      </c>
      <c r="F181" s="269">
        <v>417</v>
      </c>
      <c r="G181" s="250"/>
      <c r="H181" s="250"/>
      <c r="I181" s="250"/>
      <c r="J181" s="250"/>
      <c r="K181" s="250"/>
      <c r="L181" s="250"/>
      <c r="M181" s="250"/>
    </row>
    <row r="182" spans="1:13">
      <c r="A182" s="60"/>
      <c r="B182" s="155"/>
      <c r="C182" s="156"/>
      <c r="D182" s="157"/>
      <c r="E182" s="248"/>
      <c r="F182" s="268">
        <f>SUM(F180:F181)</f>
        <v>1117</v>
      </c>
      <c r="G182" s="250"/>
      <c r="H182" s="250"/>
      <c r="I182" s="250"/>
      <c r="J182" s="250"/>
      <c r="K182" s="250"/>
      <c r="L182" s="250"/>
      <c r="M182" s="250"/>
    </row>
    <row r="183" spans="1:13" ht="28.5">
      <c r="A183" s="60">
        <f>A181+1</f>
        <v>140</v>
      </c>
      <c r="B183" s="165" t="s">
        <v>661</v>
      </c>
      <c r="C183" s="195" t="s">
        <v>736</v>
      </c>
      <c r="D183" s="152" t="s">
        <v>759</v>
      </c>
      <c r="E183" s="246" t="s">
        <v>209</v>
      </c>
      <c r="F183" s="270">
        <v>1800</v>
      </c>
      <c r="G183" s="250"/>
      <c r="H183" s="250"/>
      <c r="I183" s="250"/>
      <c r="J183" s="250"/>
      <c r="K183" s="250"/>
      <c r="L183" s="250"/>
      <c r="M183" s="250"/>
    </row>
    <row r="184" spans="1:13" ht="28.5">
      <c r="A184" s="60">
        <f>A183+1</f>
        <v>141</v>
      </c>
      <c r="B184" s="147" t="s">
        <v>735</v>
      </c>
      <c r="C184" s="196" t="s">
        <v>736</v>
      </c>
      <c r="D184" s="149" t="s">
        <v>79</v>
      </c>
      <c r="E184" s="244" t="s">
        <v>209</v>
      </c>
      <c r="F184" s="267">
        <v>1000</v>
      </c>
      <c r="G184" s="250"/>
      <c r="H184" s="250"/>
      <c r="I184" s="250"/>
      <c r="J184" s="250"/>
      <c r="K184" s="250"/>
      <c r="L184" s="250"/>
      <c r="M184" s="250"/>
    </row>
    <row r="185" spans="1:13">
      <c r="A185" s="60"/>
      <c r="B185" s="155"/>
      <c r="C185" s="156"/>
      <c r="D185" s="157"/>
      <c r="E185" s="248"/>
      <c r="F185" s="268">
        <f>SUM(F183:F184)</f>
        <v>2800</v>
      </c>
      <c r="G185" s="250"/>
      <c r="H185" s="250"/>
      <c r="I185" s="250"/>
      <c r="J185" s="250"/>
      <c r="K185" s="250"/>
      <c r="L185" s="250"/>
      <c r="M185" s="250"/>
    </row>
    <row r="186" spans="1:13" ht="19.5">
      <c r="A186" s="60">
        <f>A184+1</f>
        <v>142</v>
      </c>
      <c r="B186" s="147" t="s">
        <v>295</v>
      </c>
      <c r="C186" s="174" t="s">
        <v>296</v>
      </c>
      <c r="D186" s="149" t="s">
        <v>79</v>
      </c>
      <c r="E186" s="244" t="s">
        <v>209</v>
      </c>
      <c r="F186" s="267">
        <f>1052+30+50</f>
        <v>1132</v>
      </c>
      <c r="G186" s="242"/>
      <c r="H186" s="242"/>
      <c r="I186" s="8"/>
      <c r="J186" s="242"/>
      <c r="K186" s="242"/>
      <c r="L186" s="242"/>
      <c r="M186" s="242"/>
    </row>
    <row r="187" spans="1:13" ht="19.5">
      <c r="A187" s="60">
        <f>A186+1</f>
        <v>143</v>
      </c>
      <c r="B187" s="147" t="s">
        <v>298</v>
      </c>
      <c r="C187" s="174" t="s">
        <v>296</v>
      </c>
      <c r="D187" s="149" t="s">
        <v>79</v>
      </c>
      <c r="E187" s="244" t="s">
        <v>209</v>
      </c>
      <c r="F187" s="267">
        <f>597+30+50+50</f>
        <v>727</v>
      </c>
      <c r="G187" s="242"/>
      <c r="H187" s="242"/>
      <c r="I187" s="8"/>
      <c r="J187" s="242"/>
      <c r="K187" s="242"/>
      <c r="L187" s="242"/>
      <c r="M187" s="242"/>
    </row>
    <row r="188" spans="1:13" ht="19.5">
      <c r="A188" s="60">
        <f>A187+1</f>
        <v>144</v>
      </c>
      <c r="B188" s="147" t="s">
        <v>300</v>
      </c>
      <c r="C188" s="174" t="s">
        <v>296</v>
      </c>
      <c r="D188" s="149" t="s">
        <v>79</v>
      </c>
      <c r="E188" s="244" t="s">
        <v>209</v>
      </c>
      <c r="F188" s="267">
        <f>500+17</f>
        <v>517</v>
      </c>
      <c r="G188" s="242"/>
      <c r="H188" s="242"/>
      <c r="I188" s="8"/>
      <c r="J188" s="242"/>
      <c r="K188" s="242"/>
      <c r="L188" s="242"/>
      <c r="M188" s="242"/>
    </row>
    <row r="189" spans="1:13">
      <c r="A189" s="60"/>
      <c r="B189" s="155"/>
      <c r="C189" s="176"/>
      <c r="D189" s="157"/>
      <c r="E189" s="248"/>
      <c r="F189" s="268">
        <f>SUM(F186:F188)</f>
        <v>2376</v>
      </c>
      <c r="G189" s="250"/>
      <c r="H189" s="250"/>
      <c r="I189" s="250"/>
      <c r="J189" s="250"/>
      <c r="K189" s="250"/>
      <c r="L189" s="250"/>
      <c r="M189" s="250"/>
    </row>
    <row r="190" spans="1:13" ht="19.5">
      <c r="A190" s="60">
        <f>A188+1</f>
        <v>145</v>
      </c>
      <c r="B190" s="165" t="s">
        <v>259</v>
      </c>
      <c r="C190" s="172" t="s">
        <v>260</v>
      </c>
      <c r="D190" s="152" t="s">
        <v>759</v>
      </c>
      <c r="E190" s="246" t="s">
        <v>209</v>
      </c>
      <c r="F190" s="270">
        <v>1800</v>
      </c>
      <c r="G190" s="242"/>
      <c r="H190" s="242"/>
      <c r="I190" s="8"/>
      <c r="J190" s="242"/>
      <c r="K190" s="242"/>
      <c r="L190" s="242"/>
      <c r="M190" s="242"/>
    </row>
    <row r="191" spans="1:13" ht="19.5">
      <c r="A191" s="60">
        <f>A190+1</f>
        <v>146</v>
      </c>
      <c r="B191" s="147" t="s">
        <v>749</v>
      </c>
      <c r="C191" s="174" t="s">
        <v>260</v>
      </c>
      <c r="D191" s="149" t="s">
        <v>79</v>
      </c>
      <c r="E191" s="244" t="s">
        <v>209</v>
      </c>
      <c r="F191" s="267">
        <f>709.57+50</f>
        <v>759.57</v>
      </c>
      <c r="G191" s="255"/>
      <c r="H191" s="255"/>
      <c r="I191" s="254"/>
      <c r="J191" s="255"/>
      <c r="K191" s="255"/>
      <c r="L191" s="255"/>
      <c r="M191" s="255"/>
    </row>
    <row r="192" spans="1:13" ht="19.5">
      <c r="A192" s="60">
        <f t="shared" ref="A192:A202" si="19">A191+1</f>
        <v>147</v>
      </c>
      <c r="B192" s="147" t="s">
        <v>265</v>
      </c>
      <c r="C192" s="174" t="s">
        <v>260</v>
      </c>
      <c r="D192" s="149" t="s">
        <v>79</v>
      </c>
      <c r="E192" s="244" t="s">
        <v>209</v>
      </c>
      <c r="F192" s="267">
        <v>800</v>
      </c>
      <c r="G192" s="255"/>
      <c r="H192" s="255"/>
      <c r="I192" s="254"/>
      <c r="J192" s="255"/>
      <c r="K192" s="255"/>
      <c r="L192" s="255"/>
      <c r="M192" s="255"/>
    </row>
    <row r="193" spans="1:13" ht="19.5">
      <c r="A193" s="60">
        <f t="shared" si="19"/>
        <v>148</v>
      </c>
      <c r="B193" s="165" t="s">
        <v>267</v>
      </c>
      <c r="C193" s="172" t="s">
        <v>260</v>
      </c>
      <c r="D193" s="152" t="s">
        <v>759</v>
      </c>
      <c r="E193" s="246" t="s">
        <v>209</v>
      </c>
      <c r="F193" s="270">
        <v>600</v>
      </c>
      <c r="G193" s="242"/>
      <c r="H193" s="242"/>
      <c r="I193" s="8"/>
      <c r="J193" s="242"/>
      <c r="K193" s="242"/>
      <c r="L193" s="242"/>
      <c r="M193" s="242"/>
    </row>
    <row r="194" spans="1:13" ht="19.5">
      <c r="A194" s="60">
        <f t="shared" si="19"/>
        <v>149</v>
      </c>
      <c r="B194" s="165" t="s">
        <v>267</v>
      </c>
      <c r="C194" s="172" t="s">
        <v>260</v>
      </c>
      <c r="D194" s="152" t="s">
        <v>759</v>
      </c>
      <c r="E194" s="246" t="s">
        <v>209</v>
      </c>
      <c r="F194" s="270">
        <v>600</v>
      </c>
      <c r="G194" s="254"/>
      <c r="H194" s="254"/>
      <c r="I194" s="254"/>
      <c r="J194" s="255"/>
      <c r="K194" s="255"/>
      <c r="L194" s="255"/>
      <c r="M194" s="255"/>
    </row>
    <row r="195" spans="1:13" ht="19.5">
      <c r="A195" s="60">
        <f t="shared" si="19"/>
        <v>150</v>
      </c>
      <c r="B195" s="147" t="s">
        <v>162</v>
      </c>
      <c r="C195" s="174" t="s">
        <v>260</v>
      </c>
      <c r="D195" s="149" t="s">
        <v>79</v>
      </c>
      <c r="E195" s="244" t="s">
        <v>209</v>
      </c>
      <c r="F195" s="267">
        <f>750+9.57</f>
        <v>759.57</v>
      </c>
      <c r="G195" s="8"/>
      <c r="H195" s="8"/>
      <c r="I195" s="8"/>
      <c r="J195" s="242"/>
      <c r="K195" s="242"/>
      <c r="L195" s="242"/>
      <c r="M195" s="242"/>
    </row>
    <row r="196" spans="1:13" ht="19.5">
      <c r="A196" s="60">
        <f t="shared" si="19"/>
        <v>151</v>
      </c>
      <c r="B196" s="147" t="s">
        <v>273</v>
      </c>
      <c r="C196" s="174" t="s">
        <v>260</v>
      </c>
      <c r="D196" s="149" t="s">
        <v>79</v>
      </c>
      <c r="E196" s="244" t="s">
        <v>209</v>
      </c>
      <c r="F196" s="267">
        <f>597+30+50+50</f>
        <v>727</v>
      </c>
      <c r="G196" s="255"/>
      <c r="H196" s="255"/>
      <c r="I196" s="254"/>
      <c r="J196" s="255"/>
      <c r="K196" s="255"/>
      <c r="L196" s="255"/>
      <c r="M196" s="255"/>
    </row>
    <row r="197" spans="1:13" ht="19.5">
      <c r="A197" s="60">
        <f t="shared" si="19"/>
        <v>152</v>
      </c>
      <c r="B197" s="147" t="s">
        <v>690</v>
      </c>
      <c r="C197" s="174" t="s">
        <v>260</v>
      </c>
      <c r="D197" s="149" t="s">
        <v>79</v>
      </c>
      <c r="E197" s="244" t="s">
        <v>209</v>
      </c>
      <c r="F197" s="267">
        <f>647+50</f>
        <v>697</v>
      </c>
      <c r="G197" s="255"/>
      <c r="H197" s="255"/>
      <c r="I197" s="254"/>
      <c r="J197" s="255"/>
      <c r="K197" s="255"/>
      <c r="L197" s="255"/>
      <c r="M197" s="255"/>
    </row>
    <row r="198" spans="1:13" ht="19.5">
      <c r="A198" s="60">
        <f t="shared" si="19"/>
        <v>153</v>
      </c>
      <c r="B198" s="197" t="s">
        <v>690</v>
      </c>
      <c r="C198" s="198" t="s">
        <v>260</v>
      </c>
      <c r="D198" s="199" t="s">
        <v>79</v>
      </c>
      <c r="E198" s="271" t="s">
        <v>209</v>
      </c>
      <c r="F198" s="272">
        <f>567+30+50</f>
        <v>647</v>
      </c>
      <c r="G198" s="255"/>
      <c r="H198" s="255"/>
      <c r="I198" s="254"/>
      <c r="J198" s="255"/>
      <c r="K198" s="255"/>
      <c r="L198" s="255"/>
      <c r="M198" s="255"/>
    </row>
    <row r="199" spans="1:13" ht="19.5">
      <c r="A199" s="60">
        <f t="shared" si="19"/>
        <v>154</v>
      </c>
      <c r="B199" s="147" t="s">
        <v>275</v>
      </c>
      <c r="C199" s="174" t="s">
        <v>260</v>
      </c>
      <c r="D199" s="149" t="s">
        <v>79</v>
      </c>
      <c r="E199" s="244" t="s">
        <v>209</v>
      </c>
      <c r="F199" s="267">
        <f>567+30+50+50</f>
        <v>697</v>
      </c>
      <c r="G199" s="255"/>
      <c r="H199" s="255"/>
      <c r="I199" s="254"/>
      <c r="J199" s="255"/>
      <c r="K199" s="255"/>
      <c r="L199" s="255"/>
      <c r="M199" s="255"/>
    </row>
    <row r="200" spans="1:13" ht="19.5">
      <c r="A200" s="60">
        <f t="shared" si="19"/>
        <v>155</v>
      </c>
      <c r="B200" s="147" t="s">
        <v>277</v>
      </c>
      <c r="C200" s="174" t="s">
        <v>260</v>
      </c>
      <c r="D200" s="149" t="s">
        <v>79</v>
      </c>
      <c r="E200" s="244" t="s">
        <v>209</v>
      </c>
      <c r="F200" s="267">
        <f>500+17</f>
        <v>517</v>
      </c>
      <c r="G200" s="255"/>
      <c r="H200" s="255"/>
      <c r="I200" s="254"/>
      <c r="J200" s="255"/>
      <c r="K200" s="255"/>
      <c r="L200" s="255"/>
      <c r="M200" s="255"/>
    </row>
    <row r="201" spans="1:13" ht="19.5">
      <c r="A201" s="60">
        <f t="shared" si="19"/>
        <v>156</v>
      </c>
      <c r="B201" s="165" t="s">
        <v>280</v>
      </c>
      <c r="C201" s="172" t="s">
        <v>260</v>
      </c>
      <c r="D201" s="152" t="s">
        <v>759</v>
      </c>
      <c r="E201" s="246" t="s">
        <v>209</v>
      </c>
      <c r="F201" s="270">
        <v>417</v>
      </c>
      <c r="G201" s="242"/>
      <c r="H201" s="242"/>
      <c r="I201" s="8"/>
      <c r="J201" s="242"/>
      <c r="K201" s="242"/>
      <c r="L201" s="242"/>
      <c r="M201" s="242"/>
    </row>
    <row r="202" spans="1:13" ht="19.5">
      <c r="A202" s="60">
        <f t="shared" si="19"/>
        <v>157</v>
      </c>
      <c r="B202" s="147" t="s">
        <v>282</v>
      </c>
      <c r="C202" s="174" t="s">
        <v>260</v>
      </c>
      <c r="D202" s="149" t="s">
        <v>79</v>
      </c>
      <c r="E202" s="244" t="s">
        <v>209</v>
      </c>
      <c r="F202" s="267">
        <f>627+50</f>
        <v>677</v>
      </c>
      <c r="G202" s="10"/>
      <c r="H202" s="10"/>
      <c r="I202" s="8"/>
      <c r="J202" s="242"/>
      <c r="K202" s="242"/>
      <c r="L202" s="242"/>
      <c r="M202" s="242"/>
    </row>
    <row r="203" spans="1:13">
      <c r="A203" s="60"/>
      <c r="B203" s="155"/>
      <c r="C203" s="176"/>
      <c r="D203" s="157"/>
      <c r="E203" s="248"/>
      <c r="F203" s="268">
        <f>SUM(F190:F202)</f>
        <v>9698.14</v>
      </c>
      <c r="G203" s="242"/>
      <c r="H203" s="242"/>
      <c r="I203" s="8"/>
      <c r="J203" s="242"/>
      <c r="K203" s="242"/>
      <c r="L203" s="242"/>
      <c r="M203" s="242"/>
    </row>
    <row r="204" spans="1:13" ht="19.5">
      <c r="A204" s="60">
        <f>A202+1</f>
        <v>158</v>
      </c>
      <c r="B204" s="147" t="s">
        <v>285</v>
      </c>
      <c r="C204" s="174" t="s">
        <v>286</v>
      </c>
      <c r="D204" s="149" t="s">
        <v>79</v>
      </c>
      <c r="E204" s="244" t="s">
        <v>209</v>
      </c>
      <c r="F204" s="267">
        <v>1300</v>
      </c>
      <c r="G204" s="242"/>
      <c r="H204" s="242"/>
      <c r="I204" s="8"/>
      <c r="J204" s="242"/>
      <c r="K204" s="242"/>
      <c r="L204" s="242"/>
      <c r="M204" s="242"/>
    </row>
    <row r="205" spans="1:13" ht="19.5">
      <c r="A205" s="60">
        <f>A204+1</f>
        <v>159</v>
      </c>
      <c r="B205" s="147" t="s">
        <v>288</v>
      </c>
      <c r="C205" s="174" t="s">
        <v>286</v>
      </c>
      <c r="D205" s="149" t="s">
        <v>79</v>
      </c>
      <c r="E205" s="244" t="s">
        <v>209</v>
      </c>
      <c r="F205" s="267">
        <v>837</v>
      </c>
      <c r="G205" s="8"/>
      <c r="H205" s="8"/>
      <c r="I205" s="8"/>
      <c r="J205" s="242"/>
      <c r="K205" s="242"/>
      <c r="L205" s="242"/>
      <c r="M205" s="242"/>
    </row>
    <row r="206" spans="1:13" ht="19.5">
      <c r="A206" s="60">
        <f>A205+1</f>
        <v>160</v>
      </c>
      <c r="B206" s="147" t="s">
        <v>290</v>
      </c>
      <c r="C206" s="174" t="s">
        <v>286</v>
      </c>
      <c r="D206" s="149" t="s">
        <v>79</v>
      </c>
      <c r="E206" s="244" t="s">
        <v>209</v>
      </c>
      <c r="F206" s="267">
        <v>597</v>
      </c>
      <c r="G206" s="242"/>
      <c r="H206" s="242"/>
      <c r="I206" s="8"/>
      <c r="J206" s="242"/>
      <c r="K206" s="242"/>
      <c r="L206" s="242"/>
      <c r="M206" s="242"/>
    </row>
    <row r="207" spans="1:13" ht="19.5">
      <c r="A207" s="60">
        <f>A206+1</f>
        <v>161</v>
      </c>
      <c r="B207" s="165" t="s">
        <v>292</v>
      </c>
      <c r="C207" s="172" t="s">
        <v>286</v>
      </c>
      <c r="D207" s="152" t="s">
        <v>759</v>
      </c>
      <c r="E207" s="246" t="s">
        <v>209</v>
      </c>
      <c r="F207" s="270">
        <v>567</v>
      </c>
      <c r="G207" s="242"/>
      <c r="H207" s="242"/>
      <c r="I207" s="8"/>
      <c r="J207" s="242"/>
      <c r="K207" s="242"/>
      <c r="L207" s="242"/>
      <c r="M207" s="242"/>
    </row>
    <row r="208" spans="1:13" ht="19.5">
      <c r="A208" s="60">
        <f>A207+1</f>
        <v>162</v>
      </c>
      <c r="B208" s="147" t="s">
        <v>292</v>
      </c>
      <c r="C208" s="174" t="s">
        <v>286</v>
      </c>
      <c r="D208" s="149" t="s">
        <v>79</v>
      </c>
      <c r="E208" s="244" t="s">
        <v>209</v>
      </c>
      <c r="F208" s="267">
        <v>597</v>
      </c>
      <c r="G208" s="242"/>
      <c r="H208" s="242"/>
      <c r="I208" s="8"/>
      <c r="J208" s="242"/>
      <c r="K208" s="242"/>
      <c r="L208" s="242"/>
      <c r="M208" s="242"/>
    </row>
    <row r="209" spans="1:13">
      <c r="A209" s="60"/>
      <c r="B209" s="155"/>
      <c r="C209" s="176"/>
      <c r="D209" s="157"/>
      <c r="E209" s="248"/>
      <c r="F209" s="268">
        <f>SUM(F204:F208)</f>
        <v>3898</v>
      </c>
      <c r="G209" s="250"/>
      <c r="H209" s="250"/>
      <c r="I209" s="250"/>
      <c r="J209" s="250"/>
      <c r="K209" s="250"/>
      <c r="L209" s="250"/>
      <c r="M209" s="250"/>
    </row>
    <row r="210" spans="1:13">
      <c r="A210" s="60"/>
      <c r="B210" s="200" t="s">
        <v>641</v>
      </c>
      <c r="C210" s="201"/>
      <c r="D210" s="193"/>
      <c r="E210" s="265"/>
      <c r="F210" s="266">
        <f>SUM(F155+F158+F179+F182+F185+F189+F203+F209)</f>
        <v>38659.14</v>
      </c>
      <c r="G210" s="273"/>
      <c r="H210" s="273"/>
      <c r="I210" s="273"/>
      <c r="J210" s="273"/>
      <c r="K210" s="273"/>
      <c r="L210" s="273"/>
      <c r="M210" s="273"/>
    </row>
    <row r="211" spans="1:13" ht="24" customHeight="1">
      <c r="A211" s="60">
        <f>A208+1</f>
        <v>163</v>
      </c>
      <c r="B211" s="165" t="s">
        <v>750</v>
      </c>
      <c r="C211" s="166" t="s">
        <v>663</v>
      </c>
      <c r="D211" s="152" t="s">
        <v>759</v>
      </c>
      <c r="E211" s="246" t="s">
        <v>306</v>
      </c>
      <c r="F211" s="270">
        <v>1000</v>
      </c>
      <c r="G211" s="250"/>
      <c r="H211" s="250"/>
      <c r="I211" s="250"/>
      <c r="J211" s="250"/>
      <c r="K211" s="250"/>
      <c r="L211" s="250"/>
      <c r="M211" s="250"/>
    </row>
    <row r="212" spans="1:13" ht="24" customHeight="1">
      <c r="A212" s="60">
        <f>A211+1</f>
        <v>164</v>
      </c>
      <c r="B212" s="182" t="s">
        <v>110</v>
      </c>
      <c r="C212" s="202" t="s">
        <v>663</v>
      </c>
      <c r="D212" s="184" t="s">
        <v>760</v>
      </c>
      <c r="E212" s="261" t="s">
        <v>306</v>
      </c>
      <c r="F212" s="269">
        <v>500</v>
      </c>
      <c r="G212" s="250"/>
      <c r="H212" s="250"/>
      <c r="I212" s="250"/>
      <c r="J212" s="250"/>
      <c r="K212" s="250"/>
      <c r="L212" s="250"/>
      <c r="M212" s="250"/>
    </row>
    <row r="213" spans="1:13" ht="24" customHeight="1">
      <c r="A213" s="60">
        <f>A212+1</f>
        <v>165</v>
      </c>
      <c r="B213" s="183" t="s">
        <v>737</v>
      </c>
      <c r="C213" s="202" t="s">
        <v>663</v>
      </c>
      <c r="D213" s="184" t="s">
        <v>760</v>
      </c>
      <c r="E213" s="261" t="s">
        <v>306</v>
      </c>
      <c r="F213" s="269">
        <v>500</v>
      </c>
      <c r="G213" s="250"/>
      <c r="H213" s="250"/>
      <c r="I213" s="250"/>
      <c r="J213" s="250"/>
      <c r="K213" s="250"/>
      <c r="L213" s="250"/>
      <c r="M213" s="250"/>
    </row>
    <row r="214" spans="1:13">
      <c r="A214" s="60"/>
      <c r="B214" s="203"/>
      <c r="C214" s="204"/>
      <c r="D214" s="205"/>
      <c r="E214" s="274"/>
      <c r="F214" s="268">
        <f>SUM(F211:F213)</f>
        <v>2000</v>
      </c>
      <c r="G214" s="250"/>
      <c r="H214" s="250"/>
      <c r="I214" s="250"/>
      <c r="J214" s="250"/>
      <c r="K214" s="250"/>
      <c r="L214" s="250"/>
      <c r="M214" s="250"/>
    </row>
    <row r="215" spans="1:13" ht="19.5">
      <c r="A215" s="60">
        <f>A213+1</f>
        <v>166</v>
      </c>
      <c r="B215" s="206" t="s">
        <v>644</v>
      </c>
      <c r="C215" s="174" t="s">
        <v>355</v>
      </c>
      <c r="D215" s="149" t="s">
        <v>79</v>
      </c>
      <c r="E215" s="244" t="s">
        <v>306</v>
      </c>
      <c r="F215" s="267">
        <v>1000</v>
      </c>
      <c r="G215" s="253"/>
      <c r="H215" s="253"/>
      <c r="I215" s="254"/>
      <c r="J215" s="255"/>
      <c r="K215" s="255"/>
      <c r="L215" s="255"/>
      <c r="M215" s="255"/>
    </row>
    <row r="216" spans="1:13" ht="19.5">
      <c r="A216" s="60">
        <f t="shared" ref="A216:A235" si="20">A215+1</f>
        <v>167</v>
      </c>
      <c r="B216" s="207" t="s">
        <v>794</v>
      </c>
      <c r="C216" s="208" t="s">
        <v>355</v>
      </c>
      <c r="D216" s="184" t="s">
        <v>760</v>
      </c>
      <c r="E216" s="261" t="s">
        <v>306</v>
      </c>
      <c r="F216" s="269">
        <v>800</v>
      </c>
      <c r="G216" s="253"/>
      <c r="H216" s="253"/>
      <c r="I216" s="254"/>
      <c r="J216" s="255"/>
      <c r="K216" s="255"/>
      <c r="L216" s="255"/>
      <c r="M216" s="255"/>
    </row>
    <row r="217" spans="1:13" ht="19.5">
      <c r="A217" s="60">
        <f t="shared" si="20"/>
        <v>168</v>
      </c>
      <c r="B217" s="165" t="s">
        <v>143</v>
      </c>
      <c r="C217" s="209" t="s">
        <v>355</v>
      </c>
      <c r="D217" s="152" t="s">
        <v>759</v>
      </c>
      <c r="E217" s="246" t="s">
        <v>306</v>
      </c>
      <c r="F217" s="270">
        <v>417</v>
      </c>
      <c r="G217" s="254"/>
      <c r="H217" s="254"/>
      <c r="I217" s="254"/>
      <c r="J217" s="255"/>
      <c r="K217" s="255"/>
      <c r="L217" s="255"/>
      <c r="M217" s="255"/>
    </row>
    <row r="218" spans="1:13" ht="19.5">
      <c r="A218" s="60">
        <f t="shared" si="20"/>
        <v>169</v>
      </c>
      <c r="B218" s="147" t="s">
        <v>360</v>
      </c>
      <c r="C218" s="174" t="s">
        <v>355</v>
      </c>
      <c r="D218" s="149" t="s">
        <v>79</v>
      </c>
      <c r="E218" s="244" t="s">
        <v>306</v>
      </c>
      <c r="F218" s="267">
        <f>417+50+50</f>
        <v>517</v>
      </c>
      <c r="G218" s="242"/>
      <c r="H218" s="242"/>
      <c r="I218" s="8"/>
      <c r="J218" s="242"/>
      <c r="K218" s="242"/>
      <c r="L218" s="242"/>
      <c r="M218" s="242"/>
    </row>
    <row r="219" spans="1:13" ht="19.5">
      <c r="A219" s="60">
        <f t="shared" si="20"/>
        <v>170</v>
      </c>
      <c r="B219" s="164" t="s">
        <v>795</v>
      </c>
      <c r="C219" s="172" t="s">
        <v>355</v>
      </c>
      <c r="D219" s="152" t="s">
        <v>759</v>
      </c>
      <c r="E219" s="246" t="s">
        <v>306</v>
      </c>
      <c r="F219" s="270">
        <v>500</v>
      </c>
      <c r="G219" s="8"/>
      <c r="H219" s="8"/>
      <c r="I219" s="8"/>
      <c r="J219" s="242"/>
      <c r="K219" s="242"/>
      <c r="L219" s="242"/>
      <c r="M219" s="242"/>
    </row>
    <row r="220" spans="1:13" ht="19.5">
      <c r="A220" s="60">
        <f t="shared" si="20"/>
        <v>171</v>
      </c>
      <c r="B220" s="165" t="s">
        <v>364</v>
      </c>
      <c r="C220" s="172" t="s">
        <v>355</v>
      </c>
      <c r="D220" s="152" t="s">
        <v>759</v>
      </c>
      <c r="E220" s="246" t="s">
        <v>306</v>
      </c>
      <c r="F220" s="270">
        <v>650</v>
      </c>
      <c r="G220" s="8"/>
      <c r="H220" s="8"/>
      <c r="I220" s="8"/>
      <c r="J220" s="242"/>
      <c r="K220" s="242"/>
      <c r="L220" s="242"/>
      <c r="M220" s="242"/>
    </row>
    <row r="221" spans="1:13" ht="19.5">
      <c r="A221" s="60">
        <f t="shared" si="20"/>
        <v>172</v>
      </c>
      <c r="B221" s="165" t="s">
        <v>738</v>
      </c>
      <c r="C221" s="172" t="s">
        <v>355</v>
      </c>
      <c r="D221" s="152" t="s">
        <v>759</v>
      </c>
      <c r="E221" s="246" t="s">
        <v>306</v>
      </c>
      <c r="F221" s="270">
        <v>500</v>
      </c>
      <c r="G221" s="275"/>
      <c r="H221" s="275"/>
      <c r="I221" s="275"/>
      <c r="J221" s="275"/>
      <c r="K221" s="275"/>
      <c r="L221" s="275"/>
      <c r="M221" s="275"/>
    </row>
    <row r="222" spans="1:13">
      <c r="A222" s="60">
        <f t="shared" si="20"/>
        <v>173</v>
      </c>
      <c r="B222" s="182" t="s">
        <v>738</v>
      </c>
      <c r="C222" s="208" t="s">
        <v>355</v>
      </c>
      <c r="D222" s="184" t="s">
        <v>760</v>
      </c>
      <c r="E222" s="261" t="s">
        <v>306</v>
      </c>
      <c r="F222" s="269">
        <v>417</v>
      </c>
      <c r="G222" s="275"/>
      <c r="H222" s="275"/>
      <c r="I222" s="275"/>
      <c r="J222" s="275"/>
      <c r="K222" s="275"/>
      <c r="L222" s="275"/>
      <c r="M222" s="275"/>
    </row>
    <row r="223" spans="1:13" ht="19.5">
      <c r="A223" s="60">
        <f t="shared" si="20"/>
        <v>174</v>
      </c>
      <c r="B223" s="147" t="s">
        <v>691</v>
      </c>
      <c r="C223" s="174" t="s">
        <v>355</v>
      </c>
      <c r="D223" s="149" t="s">
        <v>79</v>
      </c>
      <c r="E223" s="244" t="s">
        <v>306</v>
      </c>
      <c r="F223" s="267">
        <f>647+50</f>
        <v>697</v>
      </c>
      <c r="G223" s="276"/>
      <c r="H223" s="242"/>
      <c r="I223" s="8"/>
      <c r="J223" s="242"/>
      <c r="K223" s="242"/>
      <c r="L223" s="242"/>
      <c r="M223" s="242"/>
    </row>
    <row r="224" spans="1:13" ht="19.5">
      <c r="A224" s="60">
        <f t="shared" si="20"/>
        <v>175</v>
      </c>
      <c r="B224" s="147" t="s">
        <v>691</v>
      </c>
      <c r="C224" s="174" t="s">
        <v>355</v>
      </c>
      <c r="D224" s="149" t="s">
        <v>79</v>
      </c>
      <c r="E224" s="244" t="s">
        <v>306</v>
      </c>
      <c r="F224" s="267">
        <f>467+30+50+50</f>
        <v>597</v>
      </c>
      <c r="G224" s="242"/>
      <c r="H224" s="242"/>
      <c r="I224" s="8"/>
      <c r="J224" s="242"/>
      <c r="K224" s="242"/>
      <c r="L224" s="242"/>
      <c r="M224" s="242"/>
    </row>
    <row r="225" spans="1:13" ht="19.5">
      <c r="A225" s="60">
        <f t="shared" si="20"/>
        <v>176</v>
      </c>
      <c r="B225" s="147" t="s">
        <v>691</v>
      </c>
      <c r="C225" s="174" t="s">
        <v>355</v>
      </c>
      <c r="D225" s="149" t="s">
        <v>79</v>
      </c>
      <c r="E225" s="244" t="s">
        <v>306</v>
      </c>
      <c r="F225" s="267">
        <f t="shared" ref="F225:F226" si="21">467+30+50+50</f>
        <v>597</v>
      </c>
      <c r="G225" s="242"/>
      <c r="H225" s="242"/>
      <c r="I225" s="8"/>
      <c r="J225" s="242"/>
      <c r="K225" s="242"/>
      <c r="L225" s="242"/>
      <c r="M225" s="242"/>
    </row>
    <row r="226" spans="1:13" ht="19.5">
      <c r="A226" s="60">
        <f t="shared" si="20"/>
        <v>177</v>
      </c>
      <c r="B226" s="147" t="s">
        <v>691</v>
      </c>
      <c r="C226" s="174" t="s">
        <v>355</v>
      </c>
      <c r="D226" s="149" t="s">
        <v>79</v>
      </c>
      <c r="E226" s="244" t="s">
        <v>306</v>
      </c>
      <c r="F226" s="267">
        <f t="shared" si="21"/>
        <v>597</v>
      </c>
      <c r="G226" s="242"/>
      <c r="H226" s="242"/>
      <c r="I226" s="8"/>
      <c r="J226" s="242"/>
      <c r="K226" s="242"/>
      <c r="L226" s="242"/>
      <c r="M226" s="242"/>
    </row>
    <row r="227" spans="1:13" ht="19.5">
      <c r="A227" s="60">
        <f t="shared" si="20"/>
        <v>178</v>
      </c>
      <c r="B227" s="147" t="s">
        <v>368</v>
      </c>
      <c r="C227" s="174" t="s">
        <v>355</v>
      </c>
      <c r="D227" s="149" t="s">
        <v>79</v>
      </c>
      <c r="E227" s="244" t="s">
        <v>306</v>
      </c>
      <c r="F227" s="267">
        <f>417+50+50</f>
        <v>517</v>
      </c>
      <c r="G227" s="255"/>
      <c r="H227" s="255"/>
      <c r="I227" s="254"/>
      <c r="J227" s="255"/>
      <c r="K227" s="255"/>
      <c r="L227" s="255"/>
      <c r="M227" s="255"/>
    </row>
    <row r="228" spans="1:13" ht="19.5">
      <c r="A228" s="60">
        <f t="shared" si="20"/>
        <v>179</v>
      </c>
      <c r="B228" s="147" t="s">
        <v>368</v>
      </c>
      <c r="C228" s="210" t="s">
        <v>355</v>
      </c>
      <c r="D228" s="149" t="s">
        <v>79</v>
      </c>
      <c r="E228" s="244" t="s">
        <v>306</v>
      </c>
      <c r="F228" s="267">
        <f t="shared" ref="F228:F229" si="22">417+50+50</f>
        <v>517</v>
      </c>
      <c r="G228" s="242"/>
      <c r="H228" s="242"/>
      <c r="I228" s="8"/>
      <c r="J228" s="242"/>
      <c r="K228" s="242"/>
      <c r="L228" s="242"/>
      <c r="M228" s="242"/>
    </row>
    <row r="229" spans="1:13" ht="19.5">
      <c r="A229" s="60">
        <f t="shared" si="20"/>
        <v>180</v>
      </c>
      <c r="B229" s="147" t="s">
        <v>368</v>
      </c>
      <c r="C229" s="210" t="s">
        <v>355</v>
      </c>
      <c r="D229" s="149" t="s">
        <v>79</v>
      </c>
      <c r="E229" s="244" t="s">
        <v>306</v>
      </c>
      <c r="F229" s="267">
        <f t="shared" si="22"/>
        <v>517</v>
      </c>
      <c r="G229" s="10"/>
      <c r="H229" s="10"/>
      <c r="I229" s="8"/>
      <c r="J229" s="242"/>
      <c r="K229" s="242"/>
      <c r="L229" s="242"/>
      <c r="M229" s="242"/>
    </row>
    <row r="230" spans="1:13">
      <c r="A230" s="60">
        <f t="shared" si="20"/>
        <v>181</v>
      </c>
      <c r="B230" s="182" t="s">
        <v>368</v>
      </c>
      <c r="C230" s="208" t="s">
        <v>355</v>
      </c>
      <c r="D230" s="184" t="s">
        <v>760</v>
      </c>
      <c r="E230" s="261" t="s">
        <v>306</v>
      </c>
      <c r="F230" s="269">
        <v>467</v>
      </c>
      <c r="G230" s="276"/>
      <c r="H230" s="242"/>
      <c r="I230" s="8"/>
      <c r="J230" s="242"/>
      <c r="K230" s="242"/>
      <c r="L230" s="242"/>
      <c r="M230" s="242"/>
    </row>
    <row r="231" spans="1:13" ht="19.5">
      <c r="A231" s="60">
        <f t="shared" si="20"/>
        <v>182</v>
      </c>
      <c r="B231" s="147" t="s">
        <v>368</v>
      </c>
      <c r="C231" s="210" t="s">
        <v>355</v>
      </c>
      <c r="D231" s="149" t="s">
        <v>79</v>
      </c>
      <c r="E231" s="244" t="s">
        <v>306</v>
      </c>
      <c r="F231" s="267">
        <f>417+50+50</f>
        <v>517</v>
      </c>
      <c r="G231" s="257"/>
      <c r="H231" s="257"/>
      <c r="I231" s="257"/>
      <c r="J231" s="257"/>
      <c r="K231" s="257"/>
      <c r="L231" s="257"/>
      <c r="M231" s="257"/>
    </row>
    <row r="232" spans="1:13" ht="19.5">
      <c r="A232" s="60">
        <f t="shared" si="20"/>
        <v>183</v>
      </c>
      <c r="B232" s="165" t="s">
        <v>370</v>
      </c>
      <c r="C232" s="172" t="s">
        <v>355</v>
      </c>
      <c r="D232" s="152" t="s">
        <v>759</v>
      </c>
      <c r="E232" s="246" t="s">
        <v>306</v>
      </c>
      <c r="F232" s="270">
        <v>417</v>
      </c>
      <c r="G232" s="242"/>
      <c r="H232" s="242"/>
      <c r="I232" s="8"/>
      <c r="J232" s="242"/>
      <c r="K232" s="242"/>
      <c r="L232" s="242"/>
      <c r="M232" s="242"/>
    </row>
    <row r="233" spans="1:13" ht="19.5">
      <c r="A233" s="60">
        <f t="shared" si="20"/>
        <v>184</v>
      </c>
      <c r="B233" s="165" t="s">
        <v>370</v>
      </c>
      <c r="C233" s="172" t="s">
        <v>355</v>
      </c>
      <c r="D233" s="152" t="s">
        <v>759</v>
      </c>
      <c r="E233" s="246" t="s">
        <v>306</v>
      </c>
      <c r="F233" s="270">
        <v>417</v>
      </c>
      <c r="G233" s="255"/>
      <c r="H233" s="255"/>
      <c r="I233" s="254"/>
      <c r="J233" s="255"/>
      <c r="K233" s="255"/>
      <c r="L233" s="255"/>
      <c r="M233" s="255"/>
    </row>
    <row r="234" spans="1:13">
      <c r="A234" s="60">
        <f t="shared" si="20"/>
        <v>185</v>
      </c>
      <c r="B234" s="182" t="s">
        <v>370</v>
      </c>
      <c r="C234" s="208" t="s">
        <v>355</v>
      </c>
      <c r="D234" s="184" t="s">
        <v>760</v>
      </c>
      <c r="E234" s="261" t="s">
        <v>306</v>
      </c>
      <c r="F234" s="269">
        <v>417</v>
      </c>
      <c r="G234" s="276"/>
      <c r="H234" s="242"/>
      <c r="I234" s="8"/>
      <c r="J234" s="242"/>
      <c r="K234" s="242"/>
      <c r="L234" s="242"/>
      <c r="M234" s="242"/>
    </row>
    <row r="235" spans="1:13">
      <c r="A235" s="60">
        <f t="shared" si="20"/>
        <v>186</v>
      </c>
      <c r="B235" s="182" t="s">
        <v>370</v>
      </c>
      <c r="C235" s="208" t="s">
        <v>355</v>
      </c>
      <c r="D235" s="184" t="s">
        <v>760</v>
      </c>
      <c r="E235" s="261" t="s">
        <v>306</v>
      </c>
      <c r="F235" s="269">
        <v>417</v>
      </c>
      <c r="G235" s="276"/>
      <c r="H235" s="242"/>
      <c r="I235" s="8"/>
      <c r="J235" s="242"/>
      <c r="K235" s="242"/>
      <c r="L235" s="242"/>
      <c r="M235" s="242"/>
    </row>
    <row r="236" spans="1:13">
      <c r="A236" s="60"/>
      <c r="B236" s="155"/>
      <c r="C236" s="156"/>
      <c r="D236" s="157"/>
      <c r="E236" s="248"/>
      <c r="F236" s="268">
        <f>SUM(F215:F235)</f>
        <v>11492</v>
      </c>
      <c r="G236" s="242"/>
      <c r="H236" s="242"/>
      <c r="I236" s="8"/>
      <c r="J236" s="242"/>
      <c r="K236" s="242"/>
      <c r="L236" s="242"/>
      <c r="M236" s="242"/>
    </row>
    <row r="237" spans="1:13" ht="28.5">
      <c r="A237" s="60">
        <f>A235+1</f>
        <v>187</v>
      </c>
      <c r="B237" s="163" t="s">
        <v>667</v>
      </c>
      <c r="C237" s="210" t="s">
        <v>665</v>
      </c>
      <c r="D237" s="149" t="s">
        <v>79</v>
      </c>
      <c r="E237" s="244" t="s">
        <v>306</v>
      </c>
      <c r="F237" s="267">
        <v>1250</v>
      </c>
      <c r="G237" s="8"/>
      <c r="H237" s="8"/>
      <c r="I237" s="8"/>
      <c r="J237" s="242"/>
      <c r="K237" s="242"/>
      <c r="L237" s="242"/>
      <c r="M237" s="242"/>
    </row>
    <row r="238" spans="1:13" ht="28.5">
      <c r="A238" s="168">
        <f>A237+1</f>
        <v>188</v>
      </c>
      <c r="B238" s="163" t="s">
        <v>123</v>
      </c>
      <c r="C238" s="210" t="s">
        <v>665</v>
      </c>
      <c r="D238" s="149" t="s">
        <v>79</v>
      </c>
      <c r="E238" s="244" t="s">
        <v>306</v>
      </c>
      <c r="F238" s="267">
        <f>547+30+50+50</f>
        <v>677</v>
      </c>
      <c r="G238" s="8"/>
      <c r="H238" s="8"/>
      <c r="I238" s="8"/>
      <c r="J238" s="242"/>
      <c r="K238" s="242"/>
      <c r="L238" s="242"/>
      <c r="M238" s="242"/>
    </row>
    <row r="239" spans="1:13">
      <c r="A239" s="60"/>
      <c r="B239" s="22"/>
      <c r="C239" s="107"/>
      <c r="D239" s="157"/>
      <c r="E239" s="248"/>
      <c r="F239" s="268">
        <f>SUM(F237:F238)</f>
        <v>1927</v>
      </c>
      <c r="G239" s="8"/>
      <c r="H239" s="8"/>
      <c r="I239" s="8"/>
      <c r="J239" s="242"/>
      <c r="K239" s="242"/>
      <c r="L239" s="242"/>
      <c r="M239" s="242"/>
    </row>
    <row r="240" spans="1:13" ht="37.5">
      <c r="A240" s="60">
        <f>A238+1</f>
        <v>189</v>
      </c>
      <c r="B240" s="185" t="s">
        <v>685</v>
      </c>
      <c r="C240" s="211" t="s">
        <v>666</v>
      </c>
      <c r="D240" s="184" t="s">
        <v>760</v>
      </c>
      <c r="E240" s="261" t="s">
        <v>306</v>
      </c>
      <c r="F240" s="269">
        <v>700</v>
      </c>
      <c r="G240" s="8"/>
      <c r="H240" s="8"/>
      <c r="I240" s="8"/>
      <c r="J240" s="242"/>
      <c r="K240" s="242"/>
      <c r="L240" s="242"/>
      <c r="M240" s="242"/>
    </row>
    <row r="241" spans="1:13" ht="37.5">
      <c r="A241" s="60">
        <f>A240+1</f>
        <v>190</v>
      </c>
      <c r="B241" s="164" t="s">
        <v>751</v>
      </c>
      <c r="C241" s="209" t="s">
        <v>666</v>
      </c>
      <c r="D241" s="152" t="s">
        <v>759</v>
      </c>
      <c r="E241" s="246" t="s">
        <v>306</v>
      </c>
      <c r="F241" s="270">
        <v>417</v>
      </c>
      <c r="G241" s="8" t="s">
        <v>595</v>
      </c>
      <c r="H241" s="8"/>
      <c r="I241" s="8"/>
      <c r="J241" s="242"/>
      <c r="K241" s="242"/>
      <c r="L241" s="242"/>
      <c r="M241" s="242"/>
    </row>
    <row r="242" spans="1:13">
      <c r="A242" s="60"/>
      <c r="B242" s="22"/>
      <c r="C242" s="156"/>
      <c r="D242" s="157"/>
      <c r="E242" s="248"/>
      <c r="F242" s="268">
        <f>SUM(F240:F241)</f>
        <v>1117</v>
      </c>
      <c r="G242" s="250"/>
      <c r="H242" s="250"/>
      <c r="I242" s="250"/>
      <c r="J242" s="250"/>
      <c r="K242" s="250"/>
      <c r="L242" s="250"/>
      <c r="M242" s="250"/>
    </row>
    <row r="243" spans="1:13" ht="19.5">
      <c r="A243" s="60">
        <f>A241+1</f>
        <v>191</v>
      </c>
      <c r="B243" s="165" t="s">
        <v>339</v>
      </c>
      <c r="C243" s="172" t="s">
        <v>340</v>
      </c>
      <c r="D243" s="152" t="s">
        <v>759</v>
      </c>
      <c r="E243" s="246" t="s">
        <v>306</v>
      </c>
      <c r="F243" s="270">
        <v>1000</v>
      </c>
      <c r="G243" s="250"/>
      <c r="H243" s="250"/>
      <c r="I243" s="250"/>
      <c r="J243" s="250"/>
      <c r="K243" s="250"/>
      <c r="L243" s="250"/>
      <c r="M243" s="250"/>
    </row>
    <row r="244" spans="1:13" ht="19.5">
      <c r="A244" s="60">
        <f>A243+1</f>
        <v>192</v>
      </c>
      <c r="B244" s="147" t="s">
        <v>342</v>
      </c>
      <c r="C244" s="174" t="s">
        <v>340</v>
      </c>
      <c r="D244" s="149" t="s">
        <v>79</v>
      </c>
      <c r="E244" s="244" t="s">
        <v>306</v>
      </c>
      <c r="F244" s="267">
        <f>845+30+50</f>
        <v>925</v>
      </c>
      <c r="G244" s="250"/>
      <c r="H244" s="250"/>
      <c r="I244" s="250"/>
      <c r="J244" s="250"/>
      <c r="K244" s="250"/>
      <c r="L244" s="250"/>
      <c r="M244" s="250"/>
    </row>
    <row r="245" spans="1:13">
      <c r="A245" s="60">
        <f>A244+1</f>
        <v>193</v>
      </c>
      <c r="B245" s="182" t="s">
        <v>698</v>
      </c>
      <c r="C245" s="208" t="s">
        <v>340</v>
      </c>
      <c r="D245" s="184" t="s">
        <v>760</v>
      </c>
      <c r="E245" s="261" t="s">
        <v>306</v>
      </c>
      <c r="F245" s="269">
        <v>600</v>
      </c>
      <c r="G245" s="250"/>
      <c r="H245" s="250"/>
      <c r="I245" s="250"/>
      <c r="J245" s="250"/>
      <c r="K245" s="250"/>
      <c r="L245" s="250"/>
      <c r="M245" s="250"/>
    </row>
    <row r="246" spans="1:13" ht="19.5">
      <c r="A246" s="60">
        <f>A245+1</f>
        <v>194</v>
      </c>
      <c r="B246" s="165" t="s">
        <v>349</v>
      </c>
      <c r="C246" s="172" t="s">
        <v>340</v>
      </c>
      <c r="D246" s="152" t="s">
        <v>759</v>
      </c>
      <c r="E246" s="246" t="s">
        <v>306</v>
      </c>
      <c r="F246" s="270">
        <v>750</v>
      </c>
      <c r="G246" s="242"/>
      <c r="H246" s="242"/>
      <c r="I246" s="8"/>
      <c r="J246" s="242"/>
      <c r="K246" s="242"/>
      <c r="L246" s="242"/>
      <c r="M246" s="242"/>
    </row>
    <row r="247" spans="1:13" ht="19.5">
      <c r="A247" s="60">
        <f>A246+1</f>
        <v>195</v>
      </c>
      <c r="B247" s="212" t="s">
        <v>752</v>
      </c>
      <c r="C247" s="213" t="s">
        <v>340</v>
      </c>
      <c r="D247" s="181" t="s">
        <v>79</v>
      </c>
      <c r="E247" s="259" t="s">
        <v>306</v>
      </c>
      <c r="F247" s="135">
        <v>467</v>
      </c>
      <c r="G247" s="242"/>
      <c r="H247" s="242"/>
      <c r="I247" s="8"/>
      <c r="J247" s="242"/>
      <c r="K247" s="242"/>
      <c r="L247" s="242"/>
      <c r="M247" s="242"/>
    </row>
    <row r="248" spans="1:13">
      <c r="A248" s="168"/>
      <c r="B248" s="155"/>
      <c r="C248" s="176"/>
      <c r="D248" s="157"/>
      <c r="E248" s="248"/>
      <c r="F248" s="268">
        <f>SUM(F243:F247)</f>
        <v>3742</v>
      </c>
      <c r="G248" s="250"/>
      <c r="H248" s="250"/>
      <c r="I248" s="250"/>
      <c r="J248" s="250"/>
      <c r="K248" s="250"/>
      <c r="L248" s="250"/>
      <c r="M248" s="250"/>
    </row>
    <row r="249" spans="1:13" ht="30" customHeight="1">
      <c r="A249" s="60">
        <f>A247+1</f>
        <v>196</v>
      </c>
      <c r="B249" s="185" t="s">
        <v>670</v>
      </c>
      <c r="C249" s="183" t="s">
        <v>668</v>
      </c>
      <c r="D249" s="184" t="s">
        <v>760</v>
      </c>
      <c r="E249" s="261" t="s">
        <v>306</v>
      </c>
      <c r="F249" s="269">
        <v>700</v>
      </c>
      <c r="G249" s="242"/>
      <c r="H249" s="242"/>
      <c r="I249" s="8"/>
      <c r="J249" s="242"/>
      <c r="K249" s="242"/>
      <c r="L249" s="242"/>
      <c r="M249" s="242"/>
    </row>
    <row r="250" spans="1:13" ht="30" customHeight="1">
      <c r="A250" s="60">
        <f>A249+1</f>
        <v>197</v>
      </c>
      <c r="B250" s="185" t="s">
        <v>162</v>
      </c>
      <c r="C250" s="183" t="s">
        <v>668</v>
      </c>
      <c r="D250" s="184" t="s">
        <v>760</v>
      </c>
      <c r="E250" s="261" t="s">
        <v>306</v>
      </c>
      <c r="F250" s="269">
        <v>500</v>
      </c>
      <c r="G250" s="242"/>
      <c r="H250" s="242"/>
      <c r="I250" s="8"/>
      <c r="J250" s="242"/>
      <c r="K250" s="242"/>
      <c r="L250" s="242"/>
      <c r="M250" s="242"/>
    </row>
    <row r="251" spans="1:13" ht="30" customHeight="1">
      <c r="A251" s="60">
        <f>A250+1</f>
        <v>198</v>
      </c>
      <c r="B251" s="185" t="s">
        <v>687</v>
      </c>
      <c r="C251" s="183" t="s">
        <v>668</v>
      </c>
      <c r="D251" s="184" t="s">
        <v>760</v>
      </c>
      <c r="E251" s="261" t="s">
        <v>306</v>
      </c>
      <c r="F251" s="269">
        <v>417</v>
      </c>
      <c r="G251" s="242"/>
      <c r="H251" s="242"/>
      <c r="I251" s="8"/>
      <c r="J251" s="242"/>
      <c r="K251" s="242"/>
      <c r="L251" s="242"/>
      <c r="M251" s="242"/>
    </row>
    <row r="252" spans="1:13" ht="30" customHeight="1">
      <c r="A252" s="60">
        <f>A251+1</f>
        <v>199</v>
      </c>
      <c r="B252" s="214" t="s">
        <v>687</v>
      </c>
      <c r="C252" s="180" t="s">
        <v>668</v>
      </c>
      <c r="D252" s="181" t="s">
        <v>760</v>
      </c>
      <c r="E252" s="259" t="s">
        <v>306</v>
      </c>
      <c r="F252" s="135">
        <v>417</v>
      </c>
      <c r="G252" s="242"/>
      <c r="H252" s="242"/>
      <c r="I252" s="8"/>
      <c r="J252" s="242"/>
      <c r="K252" s="242"/>
      <c r="L252" s="242"/>
      <c r="M252" s="242"/>
    </row>
    <row r="253" spans="1:13" ht="30" customHeight="1">
      <c r="A253" s="60">
        <f>A252+1</f>
        <v>200</v>
      </c>
      <c r="B253" s="185" t="s">
        <v>687</v>
      </c>
      <c r="C253" s="183" t="s">
        <v>668</v>
      </c>
      <c r="D253" s="184" t="s">
        <v>760</v>
      </c>
      <c r="E253" s="261" t="s">
        <v>306</v>
      </c>
      <c r="F253" s="269">
        <v>417</v>
      </c>
      <c r="G253" s="242"/>
      <c r="H253" s="242"/>
      <c r="I253" s="8"/>
      <c r="J253" s="242"/>
      <c r="K253" s="242"/>
      <c r="L253" s="242"/>
      <c r="M253" s="242"/>
    </row>
    <row r="254" spans="1:13">
      <c r="A254" s="60"/>
      <c r="B254" s="155"/>
      <c r="C254" s="176"/>
      <c r="D254" s="157"/>
      <c r="E254" s="248"/>
      <c r="F254" s="268">
        <f>SUM(F249:F253)</f>
        <v>2451</v>
      </c>
      <c r="G254" s="242"/>
      <c r="H254" s="242"/>
      <c r="I254" s="8"/>
      <c r="J254" s="242"/>
      <c r="K254" s="242"/>
      <c r="L254" s="242"/>
      <c r="M254" s="242"/>
    </row>
    <row r="255" spans="1:13" ht="28.5" customHeight="1">
      <c r="A255" s="60">
        <f>A253+1</f>
        <v>201</v>
      </c>
      <c r="B255" s="183" t="s">
        <v>739</v>
      </c>
      <c r="C255" s="183" t="s">
        <v>753</v>
      </c>
      <c r="D255" s="184" t="s">
        <v>760</v>
      </c>
      <c r="E255" s="261" t="s">
        <v>306</v>
      </c>
      <c r="F255" s="269">
        <v>547</v>
      </c>
      <c r="G255" s="242"/>
      <c r="H255" s="242"/>
      <c r="I255" s="8"/>
      <c r="J255" s="242"/>
      <c r="K255" s="242"/>
      <c r="L255" s="242"/>
      <c r="M255" s="242"/>
    </row>
    <row r="256" spans="1:13" ht="28.5" customHeight="1">
      <c r="A256" s="60">
        <f>A255+1</f>
        <v>202</v>
      </c>
      <c r="B256" s="183" t="s">
        <v>91</v>
      </c>
      <c r="C256" s="183" t="s">
        <v>753</v>
      </c>
      <c r="D256" s="184" t="s">
        <v>760</v>
      </c>
      <c r="E256" s="261" t="s">
        <v>306</v>
      </c>
      <c r="F256" s="269">
        <v>417</v>
      </c>
      <c r="G256" s="242"/>
      <c r="H256" s="242"/>
      <c r="I256" s="8"/>
      <c r="J256" s="242"/>
      <c r="K256" s="242"/>
      <c r="L256" s="242"/>
      <c r="M256" s="242"/>
    </row>
    <row r="257" spans="1:13" ht="28.5" customHeight="1">
      <c r="A257" s="60">
        <f>A256+1</f>
        <v>203</v>
      </c>
      <c r="B257" s="183" t="s">
        <v>91</v>
      </c>
      <c r="C257" s="183" t="s">
        <v>753</v>
      </c>
      <c r="D257" s="184" t="s">
        <v>760</v>
      </c>
      <c r="E257" s="261" t="s">
        <v>306</v>
      </c>
      <c r="F257" s="269">
        <v>417</v>
      </c>
      <c r="G257" s="242"/>
      <c r="H257" s="242"/>
      <c r="I257" s="8"/>
      <c r="J257" s="242"/>
      <c r="K257" s="242"/>
      <c r="L257" s="242"/>
      <c r="M257" s="242"/>
    </row>
    <row r="258" spans="1:13" ht="28.5" customHeight="1">
      <c r="A258" s="186">
        <f>A257+1</f>
        <v>204</v>
      </c>
      <c r="B258" s="183" t="s">
        <v>91</v>
      </c>
      <c r="C258" s="183" t="s">
        <v>753</v>
      </c>
      <c r="D258" s="184" t="s">
        <v>760</v>
      </c>
      <c r="E258" s="261" t="s">
        <v>306</v>
      </c>
      <c r="F258" s="269">
        <v>417</v>
      </c>
      <c r="G258" s="242"/>
      <c r="H258" s="242"/>
      <c r="I258" s="8"/>
      <c r="J258" s="242"/>
      <c r="K258" s="242"/>
      <c r="L258" s="242"/>
      <c r="M258" s="242"/>
    </row>
    <row r="259" spans="1:13" ht="28.5" customHeight="1">
      <c r="A259" s="186">
        <f>A258+1</f>
        <v>205</v>
      </c>
      <c r="B259" s="180" t="s">
        <v>793</v>
      </c>
      <c r="C259" s="215" t="s">
        <v>669</v>
      </c>
      <c r="D259" s="216" t="s">
        <v>79</v>
      </c>
      <c r="E259" s="277" t="s">
        <v>306</v>
      </c>
      <c r="F259" s="135">
        <v>652</v>
      </c>
      <c r="G259" s="242"/>
      <c r="H259" s="242"/>
      <c r="I259" s="8"/>
      <c r="J259" s="242"/>
      <c r="K259" s="242"/>
      <c r="L259" s="242"/>
      <c r="M259" s="242"/>
    </row>
    <row r="260" spans="1:13">
      <c r="A260" s="60"/>
      <c r="B260" s="155"/>
      <c r="C260" s="176"/>
      <c r="D260" s="157"/>
      <c r="E260" s="248"/>
      <c r="F260" s="268">
        <f>SUM(F255:F259)</f>
        <v>2450</v>
      </c>
      <c r="G260" s="242"/>
      <c r="H260" s="242"/>
      <c r="I260" s="8"/>
      <c r="J260" s="242"/>
      <c r="K260" s="242"/>
      <c r="L260" s="242"/>
      <c r="M260" s="242"/>
    </row>
    <row r="261" spans="1:13" ht="19.5">
      <c r="A261" s="60">
        <f>A259+1</f>
        <v>206</v>
      </c>
      <c r="B261" s="185" t="s">
        <v>629</v>
      </c>
      <c r="C261" s="183" t="s">
        <v>682</v>
      </c>
      <c r="D261" s="184" t="s">
        <v>760</v>
      </c>
      <c r="E261" s="261" t="s">
        <v>306</v>
      </c>
      <c r="F261" s="269">
        <v>900</v>
      </c>
      <c r="G261" s="242"/>
      <c r="H261" s="242"/>
      <c r="I261" s="8"/>
      <c r="J261" s="242"/>
      <c r="K261" s="242"/>
      <c r="L261" s="242"/>
      <c r="M261" s="242"/>
    </row>
    <row r="262" spans="1:13" ht="19.5">
      <c r="A262" s="60">
        <f>A261+1</f>
        <v>207</v>
      </c>
      <c r="B262" s="188" t="s">
        <v>162</v>
      </c>
      <c r="C262" s="183" t="s">
        <v>682</v>
      </c>
      <c r="D262" s="184" t="s">
        <v>760</v>
      </c>
      <c r="E262" s="261" t="s">
        <v>306</v>
      </c>
      <c r="F262" s="269">
        <v>500</v>
      </c>
      <c r="G262" s="8"/>
      <c r="H262" s="8"/>
      <c r="I262" s="8"/>
      <c r="J262" s="242"/>
      <c r="K262" s="242"/>
      <c r="L262" s="242"/>
      <c r="M262" s="242"/>
    </row>
    <row r="263" spans="1:13" ht="19.5">
      <c r="A263" s="60">
        <f>A262+1</f>
        <v>208</v>
      </c>
      <c r="B263" s="376" t="s">
        <v>686</v>
      </c>
      <c r="C263" s="151" t="s">
        <v>682</v>
      </c>
      <c r="D263" s="152" t="s">
        <v>759</v>
      </c>
      <c r="E263" s="246" t="s">
        <v>306</v>
      </c>
      <c r="F263" s="270">
        <v>700</v>
      </c>
      <c r="G263" s="8"/>
      <c r="H263" s="8"/>
      <c r="I263" s="8"/>
      <c r="J263" s="242"/>
      <c r="K263" s="242"/>
      <c r="L263" s="242"/>
      <c r="M263" s="242"/>
    </row>
    <row r="264" spans="1:13" ht="19.5">
      <c r="A264" s="60">
        <f>A263+1</f>
        <v>209</v>
      </c>
      <c r="B264" s="378" t="s">
        <v>686</v>
      </c>
      <c r="C264" s="183" t="s">
        <v>682</v>
      </c>
      <c r="D264" s="184" t="s">
        <v>760</v>
      </c>
      <c r="E264" s="261" t="s">
        <v>306</v>
      </c>
      <c r="F264" s="269">
        <v>500</v>
      </c>
      <c r="G264" s="8"/>
      <c r="H264" s="8"/>
      <c r="I264" s="8"/>
      <c r="J264" s="242"/>
      <c r="K264" s="242"/>
      <c r="L264" s="242"/>
      <c r="M264" s="242"/>
    </row>
    <row r="265" spans="1:13" ht="19.5">
      <c r="A265" s="168">
        <f>A264+1</f>
        <v>210</v>
      </c>
      <c r="B265" s="378" t="s">
        <v>686</v>
      </c>
      <c r="C265" s="183" t="s">
        <v>682</v>
      </c>
      <c r="D265" s="184" t="s">
        <v>760</v>
      </c>
      <c r="E265" s="261" t="s">
        <v>306</v>
      </c>
      <c r="F265" s="269">
        <v>417</v>
      </c>
      <c r="G265" s="8"/>
      <c r="H265" s="8"/>
      <c r="I265" s="8"/>
      <c r="J265" s="242"/>
      <c r="K265" s="242"/>
      <c r="L265" s="242"/>
      <c r="M265" s="242"/>
    </row>
    <row r="266" spans="1:13">
      <c r="A266" s="60"/>
      <c r="B266" s="217"/>
      <c r="C266" s="140"/>
      <c r="D266" s="157"/>
      <c r="E266" s="248"/>
      <c r="F266" s="268">
        <f>SUM(F261:F265)</f>
        <v>3017</v>
      </c>
      <c r="G266" s="8"/>
      <c r="H266" s="8"/>
      <c r="I266" s="8"/>
      <c r="J266" s="242"/>
      <c r="K266" s="242"/>
      <c r="L266" s="242"/>
      <c r="M266" s="242"/>
    </row>
    <row r="267" spans="1:13" ht="19.5">
      <c r="A267" s="60">
        <f>A265+1</f>
        <v>211</v>
      </c>
      <c r="B267" s="161" t="s">
        <v>790</v>
      </c>
      <c r="C267" s="148" t="s">
        <v>681</v>
      </c>
      <c r="D267" s="149" t="s">
        <v>79</v>
      </c>
      <c r="E267" s="244" t="s">
        <v>306</v>
      </c>
      <c r="F267" s="267">
        <v>700</v>
      </c>
      <c r="G267" s="257"/>
      <c r="H267" s="257"/>
      <c r="I267" s="253"/>
      <c r="J267" s="257"/>
      <c r="K267" s="257"/>
      <c r="L267" s="257"/>
      <c r="M267" s="257"/>
    </row>
    <row r="268" spans="1:13" ht="19.5">
      <c r="A268" s="60">
        <f>A267+1</f>
        <v>212</v>
      </c>
      <c r="B268" s="161" t="s">
        <v>162</v>
      </c>
      <c r="C268" s="148" t="s">
        <v>681</v>
      </c>
      <c r="D268" s="149" t="s">
        <v>79</v>
      </c>
      <c r="E268" s="244" t="s">
        <v>306</v>
      </c>
      <c r="F268" s="267">
        <f>500+47</f>
        <v>547</v>
      </c>
      <c r="G268" s="257"/>
      <c r="H268" s="257"/>
      <c r="I268" s="253"/>
      <c r="J268" s="257"/>
      <c r="K268" s="257"/>
      <c r="L268" s="257"/>
      <c r="M268" s="257"/>
    </row>
    <row r="269" spans="1:13" ht="19.5">
      <c r="A269" s="60">
        <f>A268+1</f>
        <v>213</v>
      </c>
      <c r="B269" s="188" t="s">
        <v>91</v>
      </c>
      <c r="C269" s="183" t="s">
        <v>681</v>
      </c>
      <c r="D269" s="184" t="s">
        <v>760</v>
      </c>
      <c r="E269" s="261" t="s">
        <v>306</v>
      </c>
      <c r="F269" s="269">
        <v>417</v>
      </c>
      <c r="G269" s="257"/>
      <c r="H269" s="257"/>
      <c r="I269" s="253"/>
      <c r="J269" s="257"/>
      <c r="K269" s="257"/>
      <c r="L269" s="257"/>
      <c r="M269" s="257"/>
    </row>
    <row r="270" spans="1:13" ht="19.5">
      <c r="A270" s="60">
        <f>A269+1</f>
        <v>214</v>
      </c>
      <c r="B270" s="188" t="s">
        <v>725</v>
      </c>
      <c r="C270" s="183" t="s">
        <v>681</v>
      </c>
      <c r="D270" s="184" t="s">
        <v>760</v>
      </c>
      <c r="E270" s="261" t="s">
        <v>306</v>
      </c>
      <c r="F270" s="269">
        <v>417</v>
      </c>
      <c r="G270" s="257"/>
      <c r="H270" s="257"/>
      <c r="I270" s="253"/>
      <c r="J270" s="257"/>
      <c r="K270" s="257"/>
      <c r="L270" s="257"/>
      <c r="M270" s="257"/>
    </row>
    <row r="271" spans="1:13">
      <c r="A271" s="60"/>
      <c r="B271" s="155"/>
      <c r="C271" s="140"/>
      <c r="D271" s="157"/>
      <c r="E271" s="248"/>
      <c r="F271" s="268">
        <f>SUM(F267:F270)</f>
        <v>2081</v>
      </c>
      <c r="G271" s="8"/>
      <c r="H271" s="8"/>
      <c r="I271" s="8"/>
      <c r="J271" s="242"/>
      <c r="K271" s="242"/>
      <c r="L271" s="242"/>
      <c r="M271" s="242"/>
    </row>
    <row r="272" spans="1:13" ht="21" customHeight="1">
      <c r="A272" s="60">
        <f>A270+1</f>
        <v>215</v>
      </c>
      <c r="B272" s="182" t="s">
        <v>672</v>
      </c>
      <c r="C272" s="183" t="s">
        <v>671</v>
      </c>
      <c r="D272" s="184" t="s">
        <v>760</v>
      </c>
      <c r="E272" s="261" t="s">
        <v>306</v>
      </c>
      <c r="F272" s="269">
        <v>700</v>
      </c>
      <c r="G272" s="8"/>
      <c r="H272" s="8"/>
      <c r="I272" s="8"/>
      <c r="J272" s="242"/>
      <c r="K272" s="242"/>
      <c r="L272" s="242"/>
      <c r="M272" s="242"/>
    </row>
    <row r="273" spans="1:13" ht="21" customHeight="1">
      <c r="A273" s="60">
        <f>A272+1</f>
        <v>216</v>
      </c>
      <c r="B273" s="147" t="s">
        <v>91</v>
      </c>
      <c r="C273" s="148" t="s">
        <v>671</v>
      </c>
      <c r="D273" s="149" t="s">
        <v>79</v>
      </c>
      <c r="E273" s="244" t="s">
        <v>306</v>
      </c>
      <c r="F273" s="267">
        <f>547+30+50+50</f>
        <v>677</v>
      </c>
      <c r="G273" s="242"/>
      <c r="H273" s="242"/>
      <c r="I273" s="8"/>
      <c r="J273" s="242"/>
      <c r="K273" s="242"/>
      <c r="L273" s="242"/>
      <c r="M273" s="242"/>
    </row>
    <row r="274" spans="1:13" ht="21" customHeight="1">
      <c r="A274" s="60">
        <f>A273+1</f>
        <v>217</v>
      </c>
      <c r="B274" s="182" t="s">
        <v>366</v>
      </c>
      <c r="C274" s="183" t="s">
        <v>671</v>
      </c>
      <c r="D274" s="184" t="s">
        <v>760</v>
      </c>
      <c r="E274" s="261" t="s">
        <v>306</v>
      </c>
      <c r="F274" s="269">
        <v>417</v>
      </c>
      <c r="G274" s="8"/>
      <c r="H274" s="8"/>
      <c r="I274" s="8"/>
      <c r="J274" s="242"/>
      <c r="K274" s="242"/>
      <c r="L274" s="242"/>
      <c r="M274" s="242"/>
    </row>
    <row r="275" spans="1:13" ht="21" customHeight="1">
      <c r="A275" s="60">
        <f>A274+1</f>
        <v>218</v>
      </c>
      <c r="B275" s="182" t="s">
        <v>366</v>
      </c>
      <c r="C275" s="183" t="s">
        <v>671</v>
      </c>
      <c r="D275" s="184" t="s">
        <v>760</v>
      </c>
      <c r="E275" s="261" t="s">
        <v>306</v>
      </c>
      <c r="F275" s="269">
        <v>417</v>
      </c>
      <c r="G275" s="8"/>
      <c r="H275" s="8"/>
      <c r="I275" s="8"/>
      <c r="J275" s="242"/>
      <c r="K275" s="242"/>
      <c r="L275" s="242"/>
      <c r="M275" s="242"/>
    </row>
    <row r="276" spans="1:13" ht="21" customHeight="1">
      <c r="A276" s="60">
        <f>A275+1</f>
        <v>219</v>
      </c>
      <c r="B276" s="182" t="s">
        <v>366</v>
      </c>
      <c r="C276" s="183" t="s">
        <v>671</v>
      </c>
      <c r="D276" s="184" t="s">
        <v>760</v>
      </c>
      <c r="E276" s="261" t="s">
        <v>306</v>
      </c>
      <c r="F276" s="269">
        <v>417</v>
      </c>
      <c r="G276" s="8"/>
      <c r="H276" s="8"/>
      <c r="I276" s="8"/>
      <c r="J276" s="242"/>
      <c r="K276" s="242"/>
      <c r="L276" s="242"/>
      <c r="M276" s="242"/>
    </row>
    <row r="277" spans="1:13" ht="21" customHeight="1">
      <c r="A277" s="60">
        <f>A276+1</f>
        <v>220</v>
      </c>
      <c r="B277" s="182" t="s">
        <v>366</v>
      </c>
      <c r="C277" s="183" t="s">
        <v>671</v>
      </c>
      <c r="D277" s="184" t="s">
        <v>760</v>
      </c>
      <c r="E277" s="261" t="s">
        <v>306</v>
      </c>
      <c r="F277" s="269">
        <v>417</v>
      </c>
      <c r="G277" s="254"/>
      <c r="H277" s="254"/>
      <c r="I277" s="254"/>
      <c r="J277" s="255"/>
      <c r="K277" s="255"/>
      <c r="L277" s="255"/>
      <c r="M277" s="255"/>
    </row>
    <row r="278" spans="1:13">
      <c r="A278" s="60"/>
      <c r="B278" s="155"/>
      <c r="C278" s="140"/>
      <c r="D278" s="157"/>
      <c r="E278" s="248"/>
      <c r="F278" s="268">
        <f>SUM(F272:F277)</f>
        <v>3045</v>
      </c>
      <c r="G278" s="8"/>
      <c r="H278" s="8"/>
      <c r="I278" s="8"/>
      <c r="J278" s="242"/>
      <c r="K278" s="242"/>
      <c r="L278" s="242"/>
      <c r="M278" s="242"/>
    </row>
    <row r="279" spans="1:13" ht="22.5" customHeight="1">
      <c r="A279" s="218">
        <f>A277+1</f>
        <v>221</v>
      </c>
      <c r="B279" s="163" t="s">
        <v>96</v>
      </c>
      <c r="C279" s="148" t="s">
        <v>97</v>
      </c>
      <c r="D279" s="149" t="s">
        <v>79</v>
      </c>
      <c r="E279" s="244" t="s">
        <v>306</v>
      </c>
      <c r="F279" s="267">
        <f>467+30+50+50</f>
        <v>597</v>
      </c>
      <c r="G279" s="8"/>
      <c r="H279" s="8"/>
      <c r="I279" s="8"/>
      <c r="J279" s="242"/>
      <c r="K279" s="242"/>
      <c r="L279" s="242"/>
      <c r="M279" s="242"/>
    </row>
    <row r="280" spans="1:13">
      <c r="A280" s="186"/>
      <c r="B280" s="22"/>
      <c r="C280" s="140"/>
      <c r="D280" s="157"/>
      <c r="E280" s="248"/>
      <c r="F280" s="268">
        <f>SUM(F279)</f>
        <v>597</v>
      </c>
      <c r="G280" s="8"/>
      <c r="H280" s="8"/>
      <c r="I280" s="8"/>
      <c r="J280" s="242"/>
      <c r="K280" s="242"/>
      <c r="L280" s="242"/>
      <c r="M280" s="242"/>
    </row>
    <row r="281" spans="1:13">
      <c r="A281" s="60"/>
      <c r="B281" s="200" t="s">
        <v>347</v>
      </c>
      <c r="C281" s="219"/>
      <c r="D281" s="220"/>
      <c r="E281" s="278"/>
      <c r="F281" s="266">
        <f>SUM(F280,F278,F271,F266,F260,F254,F248,F242,F239,F236,F214)</f>
        <v>33919</v>
      </c>
      <c r="G281" s="279"/>
      <c r="H281" s="279"/>
      <c r="I281" s="279"/>
      <c r="J281" s="280"/>
      <c r="K281" s="280"/>
      <c r="L281" s="280"/>
      <c r="M281" s="280"/>
    </row>
    <row r="282" spans="1:13" ht="28.5">
      <c r="A282" s="60">
        <f>A279+1</f>
        <v>222</v>
      </c>
      <c r="B282" s="163" t="s">
        <v>323</v>
      </c>
      <c r="C282" s="148" t="s">
        <v>324</v>
      </c>
      <c r="D282" s="149" t="s">
        <v>79</v>
      </c>
      <c r="E282" s="244" t="s">
        <v>351</v>
      </c>
      <c r="F282" s="267">
        <f>1219.86+30+50</f>
        <v>1299.8599999999999</v>
      </c>
      <c r="G282" s="242"/>
      <c r="H282" s="242"/>
      <c r="I282" s="8"/>
      <c r="J282" s="242"/>
      <c r="K282" s="242"/>
      <c r="L282" s="242"/>
      <c r="M282" s="242"/>
    </row>
    <row r="283" spans="1:13" ht="28.5">
      <c r="A283" s="60">
        <f t="shared" ref="A283:A289" si="23">A282+1</f>
        <v>223</v>
      </c>
      <c r="B283" s="147" t="s">
        <v>342</v>
      </c>
      <c r="C283" s="148" t="s">
        <v>324</v>
      </c>
      <c r="D283" s="149" t="s">
        <v>79</v>
      </c>
      <c r="E283" s="244" t="s">
        <v>351</v>
      </c>
      <c r="F283" s="267">
        <v>1000</v>
      </c>
      <c r="G283" s="242"/>
      <c r="H283" s="242"/>
      <c r="I283" s="8"/>
      <c r="J283" s="242"/>
      <c r="K283" s="242"/>
      <c r="L283" s="242"/>
      <c r="M283" s="242"/>
    </row>
    <row r="284" spans="1:13" ht="28.5">
      <c r="A284" s="60">
        <f t="shared" si="23"/>
        <v>224</v>
      </c>
      <c r="B284" s="147" t="s">
        <v>328</v>
      </c>
      <c r="C284" s="148" t="s">
        <v>324</v>
      </c>
      <c r="D284" s="149" t="s">
        <v>79</v>
      </c>
      <c r="E284" s="244" t="s">
        <v>351</v>
      </c>
      <c r="F284" s="267">
        <f>612+30+50+50</f>
        <v>742</v>
      </c>
      <c r="G284" s="242"/>
      <c r="H284" s="242"/>
      <c r="I284" s="8"/>
      <c r="J284" s="242"/>
      <c r="K284" s="242"/>
      <c r="L284" s="242"/>
      <c r="M284" s="242"/>
    </row>
    <row r="285" spans="1:13" ht="28.5">
      <c r="A285" s="60">
        <f t="shared" si="23"/>
        <v>225</v>
      </c>
      <c r="B285" s="147" t="s">
        <v>135</v>
      </c>
      <c r="C285" s="148" t="s">
        <v>324</v>
      </c>
      <c r="D285" s="149" t="s">
        <v>79</v>
      </c>
      <c r="E285" s="244" t="s">
        <v>351</v>
      </c>
      <c r="F285" s="267">
        <f>617.72+30+50+50</f>
        <v>747.72</v>
      </c>
      <c r="G285" s="242"/>
      <c r="H285" s="242"/>
      <c r="I285" s="8"/>
      <c r="J285" s="242"/>
      <c r="K285" s="242"/>
      <c r="L285" s="242"/>
      <c r="M285" s="242"/>
    </row>
    <row r="286" spans="1:13" ht="28.5">
      <c r="A286" s="60">
        <f t="shared" si="23"/>
        <v>226</v>
      </c>
      <c r="B286" s="182" t="s">
        <v>727</v>
      </c>
      <c r="C286" s="183" t="s">
        <v>324</v>
      </c>
      <c r="D286" s="184" t="s">
        <v>760</v>
      </c>
      <c r="E286" s="261" t="s">
        <v>351</v>
      </c>
      <c r="F286" s="269">
        <v>800</v>
      </c>
      <c r="G286" s="242"/>
      <c r="H286" s="242"/>
      <c r="I286" s="8"/>
      <c r="J286" s="242"/>
      <c r="K286" s="242"/>
      <c r="L286" s="242"/>
      <c r="M286" s="242"/>
    </row>
    <row r="287" spans="1:13" ht="28.5">
      <c r="A287" s="60">
        <f t="shared" si="23"/>
        <v>227</v>
      </c>
      <c r="B287" s="161" t="s">
        <v>642</v>
      </c>
      <c r="C287" s="148" t="s">
        <v>324</v>
      </c>
      <c r="D287" s="149" t="s">
        <v>79</v>
      </c>
      <c r="E287" s="244" t="s">
        <v>351</v>
      </c>
      <c r="F287" s="267">
        <f>650+50</f>
        <v>700</v>
      </c>
      <c r="G287" s="242"/>
      <c r="H287" s="242"/>
      <c r="I287" s="8"/>
      <c r="J287" s="242"/>
      <c r="K287" s="242"/>
      <c r="L287" s="242"/>
      <c r="M287" s="242"/>
    </row>
    <row r="288" spans="1:13" ht="28.5">
      <c r="A288" s="60">
        <f t="shared" si="23"/>
        <v>228</v>
      </c>
      <c r="B288" s="147" t="s">
        <v>643</v>
      </c>
      <c r="C288" s="148" t="s">
        <v>324</v>
      </c>
      <c r="D288" s="149" t="s">
        <v>79</v>
      </c>
      <c r="E288" s="244" t="s">
        <v>351</v>
      </c>
      <c r="F288" s="267">
        <f>567+30+50+50</f>
        <v>697</v>
      </c>
      <c r="G288" s="242"/>
      <c r="H288" s="242"/>
      <c r="I288" s="8"/>
      <c r="J288" s="242"/>
      <c r="K288" s="242"/>
      <c r="L288" s="242"/>
      <c r="M288" s="242"/>
    </row>
    <row r="289" spans="1:13" ht="28.5">
      <c r="A289" s="60">
        <f t="shared" si="23"/>
        <v>229</v>
      </c>
      <c r="B289" s="165" t="s">
        <v>643</v>
      </c>
      <c r="C289" s="151" t="s">
        <v>324</v>
      </c>
      <c r="D289" s="152" t="s">
        <v>759</v>
      </c>
      <c r="E289" s="246" t="s">
        <v>351</v>
      </c>
      <c r="F289" s="270">
        <v>500</v>
      </c>
      <c r="G289" s="242"/>
      <c r="H289" s="242"/>
      <c r="I289" s="8"/>
      <c r="J289" s="242"/>
      <c r="K289" s="242"/>
      <c r="L289" s="242"/>
      <c r="M289" s="242"/>
    </row>
    <row r="290" spans="1:13">
      <c r="A290" s="60"/>
      <c r="B290" s="155"/>
      <c r="C290" s="176"/>
      <c r="D290" s="157"/>
      <c r="E290" s="248"/>
      <c r="F290" s="268">
        <f>SUM(F282:F289)</f>
        <v>6486.58</v>
      </c>
      <c r="G290" s="250"/>
      <c r="H290" s="250"/>
      <c r="I290" s="250"/>
      <c r="J290" s="250"/>
      <c r="K290" s="250"/>
      <c r="L290" s="250"/>
      <c r="M290" s="250"/>
    </row>
    <row r="291" spans="1:13" ht="19.5">
      <c r="A291" s="60">
        <f>A289+1</f>
        <v>230</v>
      </c>
      <c r="B291" s="147" t="s">
        <v>781</v>
      </c>
      <c r="C291" s="174" t="s">
        <v>772</v>
      </c>
      <c r="D291" s="149" t="s">
        <v>79</v>
      </c>
      <c r="E291" s="244" t="s">
        <v>351</v>
      </c>
      <c r="F291" s="267">
        <v>1000</v>
      </c>
      <c r="G291" s="242"/>
      <c r="H291" s="242"/>
      <c r="I291" s="8"/>
      <c r="J291" s="242"/>
      <c r="K291" s="242"/>
      <c r="L291" s="242"/>
      <c r="M291" s="242"/>
    </row>
    <row r="292" spans="1:13" ht="19.5">
      <c r="A292" s="60">
        <f t="shared" ref="A292:A300" si="24">A291+1</f>
        <v>231</v>
      </c>
      <c r="B292" s="163" t="s">
        <v>342</v>
      </c>
      <c r="C292" s="174" t="s">
        <v>772</v>
      </c>
      <c r="D292" s="149" t="s">
        <v>79</v>
      </c>
      <c r="E292" s="244" t="s">
        <v>351</v>
      </c>
      <c r="F292" s="267">
        <v>750</v>
      </c>
      <c r="G292" s="254"/>
      <c r="H292" s="254"/>
      <c r="I292" s="254"/>
      <c r="J292" s="255"/>
      <c r="K292" s="255"/>
      <c r="L292" s="255"/>
      <c r="M292" s="255"/>
    </row>
    <row r="293" spans="1:13" ht="19.5">
      <c r="A293" s="60">
        <f t="shared" si="24"/>
        <v>232</v>
      </c>
      <c r="B293" s="165" t="s">
        <v>308</v>
      </c>
      <c r="C293" s="172" t="s">
        <v>772</v>
      </c>
      <c r="D293" s="152" t="s">
        <v>759</v>
      </c>
      <c r="E293" s="246" t="s">
        <v>351</v>
      </c>
      <c r="F293" s="270">
        <v>600</v>
      </c>
      <c r="G293" s="254"/>
      <c r="H293" s="254"/>
      <c r="I293" s="254"/>
      <c r="J293" s="255"/>
      <c r="K293" s="255"/>
      <c r="L293" s="255"/>
      <c r="M293" s="255"/>
    </row>
    <row r="294" spans="1:13" ht="19.5">
      <c r="A294" s="60">
        <f t="shared" si="24"/>
        <v>233</v>
      </c>
      <c r="B294" s="147" t="s">
        <v>699</v>
      </c>
      <c r="C294" s="174" t="s">
        <v>772</v>
      </c>
      <c r="D294" s="149" t="s">
        <v>79</v>
      </c>
      <c r="E294" s="244" t="s">
        <v>351</v>
      </c>
      <c r="F294" s="267">
        <f>547+50</f>
        <v>597</v>
      </c>
      <c r="G294" s="281"/>
      <c r="H294" s="281"/>
      <c r="I294" s="281"/>
      <c r="J294" s="281"/>
      <c r="K294" s="281"/>
      <c r="L294" s="281"/>
      <c r="M294" s="281"/>
    </row>
    <row r="295" spans="1:13" ht="19.5">
      <c r="A295" s="60">
        <f t="shared" si="24"/>
        <v>234</v>
      </c>
      <c r="B295" s="147" t="s">
        <v>312</v>
      </c>
      <c r="C295" s="174" t="s">
        <v>772</v>
      </c>
      <c r="D295" s="149" t="s">
        <v>79</v>
      </c>
      <c r="E295" s="244" t="s">
        <v>351</v>
      </c>
      <c r="F295" s="267">
        <v>817</v>
      </c>
      <c r="G295" s="281"/>
      <c r="H295" s="281"/>
      <c r="I295" s="281"/>
      <c r="J295" s="281"/>
      <c r="K295" s="281"/>
      <c r="L295" s="281"/>
      <c r="M295" s="281"/>
    </row>
    <row r="296" spans="1:13" ht="19.5">
      <c r="A296" s="60">
        <f t="shared" si="24"/>
        <v>235</v>
      </c>
      <c r="B296" s="147" t="s">
        <v>312</v>
      </c>
      <c r="C296" s="174" t="s">
        <v>772</v>
      </c>
      <c r="D296" s="149" t="s">
        <v>79</v>
      </c>
      <c r="E296" s="244" t="s">
        <v>351</v>
      </c>
      <c r="F296" s="267">
        <f>627+50</f>
        <v>677</v>
      </c>
      <c r="G296" s="255"/>
      <c r="H296" s="255"/>
      <c r="I296" s="254"/>
      <c r="J296" s="255"/>
      <c r="K296" s="255"/>
      <c r="L296" s="255"/>
      <c r="M296" s="255"/>
    </row>
    <row r="297" spans="1:13" ht="19.5">
      <c r="A297" s="60">
        <f t="shared" si="24"/>
        <v>236</v>
      </c>
      <c r="B297" s="147" t="s">
        <v>315</v>
      </c>
      <c r="C297" s="174" t="s">
        <v>772</v>
      </c>
      <c r="D297" s="149" t="s">
        <v>79</v>
      </c>
      <c r="E297" s="244" t="s">
        <v>351</v>
      </c>
      <c r="F297" s="267">
        <f>650</f>
        <v>650</v>
      </c>
      <c r="G297" s="242"/>
      <c r="H297" s="242"/>
      <c r="I297" s="8"/>
      <c r="J297" s="242"/>
      <c r="K297" s="242"/>
      <c r="L297" s="242"/>
      <c r="M297" s="242"/>
    </row>
    <row r="298" spans="1:13">
      <c r="A298" s="60">
        <f t="shared" si="24"/>
        <v>237</v>
      </c>
      <c r="B298" s="182" t="s">
        <v>317</v>
      </c>
      <c r="C298" s="208" t="s">
        <v>772</v>
      </c>
      <c r="D298" s="184" t="s">
        <v>760</v>
      </c>
      <c r="E298" s="261" t="s">
        <v>351</v>
      </c>
      <c r="F298" s="269">
        <f>417+30+50</f>
        <v>497</v>
      </c>
      <c r="G298" s="254"/>
      <c r="H298" s="254"/>
      <c r="I298" s="254"/>
      <c r="J298" s="255"/>
      <c r="K298" s="255"/>
      <c r="L298" s="255"/>
      <c r="M298" s="255"/>
    </row>
    <row r="299" spans="1:13" ht="19.5">
      <c r="A299" s="60">
        <f t="shared" si="24"/>
        <v>238</v>
      </c>
      <c r="B299" s="147" t="s">
        <v>317</v>
      </c>
      <c r="C299" s="174" t="s">
        <v>772</v>
      </c>
      <c r="D299" s="149" t="s">
        <v>79</v>
      </c>
      <c r="E299" s="244" t="s">
        <v>351</v>
      </c>
      <c r="F299" s="267">
        <f>497+20</f>
        <v>517</v>
      </c>
      <c r="G299" s="281"/>
      <c r="H299" s="281"/>
      <c r="I299" s="281"/>
      <c r="J299" s="281"/>
      <c r="K299" s="281"/>
      <c r="L299" s="281"/>
      <c r="M299" s="281"/>
    </row>
    <row r="300" spans="1:13" ht="19.5">
      <c r="A300" s="60">
        <f t="shared" si="24"/>
        <v>239</v>
      </c>
      <c r="B300" s="165" t="s">
        <v>319</v>
      </c>
      <c r="C300" s="172" t="s">
        <v>772</v>
      </c>
      <c r="D300" s="152" t="s">
        <v>759</v>
      </c>
      <c r="E300" s="246" t="s">
        <v>351</v>
      </c>
      <c r="F300" s="270">
        <v>417</v>
      </c>
      <c r="G300" s="242"/>
      <c r="H300" s="242"/>
      <c r="I300" s="8"/>
      <c r="J300" s="242"/>
      <c r="K300" s="242"/>
      <c r="L300" s="242"/>
      <c r="M300" s="242"/>
    </row>
    <row r="301" spans="1:13">
      <c r="A301" s="168"/>
      <c r="B301" s="155"/>
      <c r="C301" s="156"/>
      <c r="D301" s="157"/>
      <c r="E301" s="248"/>
      <c r="F301" s="268">
        <f>SUM(F291:F300)</f>
        <v>6522</v>
      </c>
      <c r="G301" s="281"/>
      <c r="H301" s="281"/>
      <c r="I301" s="281"/>
      <c r="J301" s="281"/>
      <c r="K301" s="281"/>
      <c r="L301" s="281"/>
      <c r="M301" s="281"/>
    </row>
    <row r="302" spans="1:13">
      <c r="A302" s="60"/>
      <c r="B302" s="435" t="s">
        <v>673</v>
      </c>
      <c r="C302" s="436"/>
      <c r="D302" s="193"/>
      <c r="E302" s="265"/>
      <c r="F302" s="266">
        <f>SUM(F301,F290)</f>
        <v>13008.58</v>
      </c>
      <c r="G302" s="273"/>
      <c r="H302" s="273"/>
      <c r="I302" s="273"/>
      <c r="J302" s="273"/>
      <c r="K302" s="273"/>
      <c r="L302" s="273"/>
      <c r="M302" s="273"/>
    </row>
    <row r="303" spans="1:13" ht="20.25" customHeight="1">
      <c r="A303" s="162">
        <f>A300+1</f>
        <v>240</v>
      </c>
      <c r="B303" s="221" t="s">
        <v>674</v>
      </c>
      <c r="C303" s="202" t="s">
        <v>675</v>
      </c>
      <c r="D303" s="184" t="s">
        <v>760</v>
      </c>
      <c r="E303" s="282" t="s">
        <v>715</v>
      </c>
      <c r="F303" s="269">
        <v>800</v>
      </c>
      <c r="G303" s="250"/>
      <c r="H303" s="250"/>
      <c r="I303" s="250"/>
      <c r="J303" s="250"/>
      <c r="K303" s="250"/>
      <c r="L303" s="250"/>
      <c r="M303" s="250"/>
    </row>
    <row r="304" spans="1:13" ht="20.25" customHeight="1">
      <c r="A304" s="162">
        <f>A303+1</f>
        <v>241</v>
      </c>
      <c r="B304" s="221" t="s">
        <v>162</v>
      </c>
      <c r="C304" s="202" t="s">
        <v>675</v>
      </c>
      <c r="D304" s="184" t="s">
        <v>760</v>
      </c>
      <c r="E304" s="282" t="s">
        <v>715</v>
      </c>
      <c r="F304" s="269">
        <v>417</v>
      </c>
      <c r="G304" s="250"/>
      <c r="H304" s="250"/>
      <c r="I304" s="250"/>
      <c r="J304" s="250"/>
      <c r="K304" s="250"/>
      <c r="L304" s="250"/>
      <c r="M304" s="250"/>
    </row>
    <row r="305" spans="1:13" ht="20.25" customHeight="1">
      <c r="A305" s="168">
        <f>A304+1</f>
        <v>242</v>
      </c>
      <c r="B305" s="221" t="s">
        <v>688</v>
      </c>
      <c r="C305" s="202" t="s">
        <v>675</v>
      </c>
      <c r="D305" s="184" t="s">
        <v>760</v>
      </c>
      <c r="E305" s="282" t="s">
        <v>715</v>
      </c>
      <c r="F305" s="269">
        <v>500</v>
      </c>
      <c r="G305" s="250"/>
      <c r="H305" s="250"/>
      <c r="I305" s="250"/>
      <c r="J305" s="250"/>
      <c r="K305" s="250"/>
      <c r="L305" s="250"/>
      <c r="M305" s="250"/>
    </row>
    <row r="306" spans="1:13">
      <c r="A306" s="168"/>
      <c r="B306" s="222"/>
      <c r="C306" s="142"/>
      <c r="D306" s="157"/>
      <c r="E306" s="283"/>
      <c r="F306" s="268"/>
      <c r="G306" s="250"/>
      <c r="H306" s="250"/>
      <c r="I306" s="250"/>
      <c r="J306" s="250"/>
      <c r="K306" s="250"/>
      <c r="L306" s="250"/>
      <c r="M306" s="250"/>
    </row>
    <row r="307" spans="1:13" ht="20.25" customHeight="1">
      <c r="A307" s="60">
        <f>A305+1</f>
        <v>243</v>
      </c>
      <c r="B307" s="221" t="s">
        <v>680</v>
      </c>
      <c r="C307" s="202" t="s">
        <v>675</v>
      </c>
      <c r="D307" s="184" t="s">
        <v>760</v>
      </c>
      <c r="E307" s="282" t="s">
        <v>715</v>
      </c>
      <c r="F307" s="269">
        <v>700</v>
      </c>
      <c r="G307" s="250"/>
      <c r="H307" s="250"/>
      <c r="I307" s="250"/>
      <c r="J307" s="250"/>
      <c r="K307" s="250"/>
      <c r="L307" s="250"/>
      <c r="M307" s="250"/>
    </row>
    <row r="308" spans="1:13" ht="22.5" customHeight="1">
      <c r="A308" s="168">
        <f>A307+1</f>
        <v>244</v>
      </c>
      <c r="B308" s="221" t="s">
        <v>91</v>
      </c>
      <c r="C308" s="202" t="s">
        <v>675</v>
      </c>
      <c r="D308" s="184" t="s">
        <v>760</v>
      </c>
      <c r="E308" s="282" t="s">
        <v>715</v>
      </c>
      <c r="F308" s="269">
        <v>417</v>
      </c>
      <c r="G308" s="250"/>
      <c r="H308" s="250"/>
      <c r="I308" s="250"/>
      <c r="J308" s="250"/>
      <c r="K308" s="250"/>
      <c r="L308" s="250"/>
      <c r="M308" s="250"/>
    </row>
    <row r="309" spans="1:13">
      <c r="A309" s="60"/>
      <c r="B309" s="223"/>
      <c r="C309" s="223"/>
      <c r="D309" s="205"/>
      <c r="E309" s="274"/>
      <c r="F309" s="268">
        <f>SUM(F303:F308)</f>
        <v>2834</v>
      </c>
      <c r="G309" s="250"/>
      <c r="H309" s="250"/>
      <c r="I309" s="250"/>
      <c r="J309" s="250"/>
      <c r="K309" s="250"/>
      <c r="L309" s="250"/>
      <c r="M309" s="250"/>
    </row>
    <row r="310" spans="1:13">
      <c r="A310" s="186"/>
      <c r="B310" s="155"/>
      <c r="C310" s="176"/>
      <c r="D310" s="157"/>
      <c r="E310" s="248"/>
      <c r="F310" s="268"/>
      <c r="G310" s="257"/>
      <c r="H310" s="257"/>
      <c r="I310" s="253"/>
      <c r="J310" s="257"/>
      <c r="K310" s="257"/>
      <c r="L310" s="257"/>
      <c r="M310" s="257"/>
    </row>
    <row r="311" spans="1:13" ht="19.5">
      <c r="A311" s="60">
        <f>A308+1</f>
        <v>245</v>
      </c>
      <c r="B311" s="164" t="s">
        <v>451</v>
      </c>
      <c r="C311" s="151" t="s">
        <v>452</v>
      </c>
      <c r="D311" s="152" t="s">
        <v>759</v>
      </c>
      <c r="E311" s="284" t="s">
        <v>715</v>
      </c>
      <c r="F311" s="270">
        <v>1000</v>
      </c>
      <c r="G311" s="257">
        <f>F311/2*0.3</f>
        <v>150</v>
      </c>
      <c r="H311" s="257">
        <f>G311*7.75%</f>
        <v>11.625</v>
      </c>
      <c r="I311" s="253"/>
      <c r="J311" s="257"/>
      <c r="K311" s="257">
        <f>G311*0.075</f>
        <v>11.25</v>
      </c>
      <c r="L311" s="257">
        <f>G311*0.01</f>
        <v>1.5</v>
      </c>
      <c r="M311" s="257">
        <f>SUM(G311+H311+I311+J311+K311+L311)</f>
        <v>174.375</v>
      </c>
    </row>
    <row r="312" spans="1:13" ht="19.5">
      <c r="A312" s="60">
        <f>A311+1</f>
        <v>246</v>
      </c>
      <c r="B312" s="163" t="s">
        <v>454</v>
      </c>
      <c r="C312" s="148" t="s">
        <v>452</v>
      </c>
      <c r="D312" s="149" t="s">
        <v>79</v>
      </c>
      <c r="E312" s="285" t="s">
        <v>715</v>
      </c>
      <c r="F312" s="267">
        <f>745+30+50</f>
        <v>825</v>
      </c>
      <c r="G312" s="257">
        <f>F312/2*0.3</f>
        <v>123.75</v>
      </c>
      <c r="H312" s="257">
        <f>G312*7.75%</f>
        <v>9.5906249999999993</v>
      </c>
      <c r="I312" s="253"/>
      <c r="J312" s="257"/>
      <c r="K312" s="257">
        <f>G312*0.075</f>
        <v>9.28125</v>
      </c>
      <c r="L312" s="257">
        <f>G312*0.01</f>
        <v>1.2375</v>
      </c>
      <c r="M312" s="257">
        <f>SUM(G312+H312+I312+J312+K312+L312)</f>
        <v>143.859375</v>
      </c>
    </row>
    <row r="313" spans="1:13" ht="19.5">
      <c r="A313" s="60">
        <f>A312+1</f>
        <v>247</v>
      </c>
      <c r="B313" s="164" t="s">
        <v>110</v>
      </c>
      <c r="C313" s="151" t="s">
        <v>452</v>
      </c>
      <c r="D313" s="152" t="s">
        <v>759</v>
      </c>
      <c r="E313" s="284" t="s">
        <v>715</v>
      </c>
      <c r="F313" s="270">
        <v>500</v>
      </c>
      <c r="G313" s="254"/>
      <c r="H313" s="254"/>
      <c r="I313" s="254"/>
      <c r="J313" s="255"/>
      <c r="K313" s="255"/>
      <c r="L313" s="255"/>
      <c r="M313" s="255"/>
    </row>
    <row r="314" spans="1:13" ht="19.5">
      <c r="A314" s="60">
        <f>A313+1</f>
        <v>248</v>
      </c>
      <c r="B314" s="163" t="s">
        <v>83</v>
      </c>
      <c r="C314" s="148" t="s">
        <v>452</v>
      </c>
      <c r="D314" s="149" t="s">
        <v>79</v>
      </c>
      <c r="E314" s="285" t="s">
        <v>715</v>
      </c>
      <c r="F314" s="267">
        <f>497+20</f>
        <v>517</v>
      </c>
      <c r="G314" s="286"/>
      <c r="H314" s="255"/>
      <c r="I314" s="254"/>
      <c r="J314" s="255"/>
      <c r="K314" s="255"/>
      <c r="L314" s="255"/>
      <c r="M314" s="255"/>
    </row>
    <row r="315" spans="1:13" ht="19.5">
      <c r="A315" s="60">
        <f>A314+1</f>
        <v>249</v>
      </c>
      <c r="B315" s="163" t="s">
        <v>740</v>
      </c>
      <c r="C315" s="148" t="s">
        <v>452</v>
      </c>
      <c r="D315" s="149" t="s">
        <v>79</v>
      </c>
      <c r="E315" s="285" t="s">
        <v>715</v>
      </c>
      <c r="F315" s="267">
        <f>497+50</f>
        <v>547</v>
      </c>
      <c r="G315" s="257">
        <f>F315/2*0.3</f>
        <v>82.05</v>
      </c>
      <c r="H315" s="257">
        <f>G315*7.75%</f>
        <v>6.3588749999999994</v>
      </c>
      <c r="I315" s="10"/>
      <c r="J315" s="256"/>
      <c r="K315" s="257">
        <f>G315*0.075</f>
        <v>6.1537499999999996</v>
      </c>
      <c r="L315" s="257">
        <f>G315*0.01</f>
        <v>0.82050000000000001</v>
      </c>
      <c r="M315" s="257">
        <f>SUM(G315+H315+I315+J315+K315+L315)</f>
        <v>95.383124999999993</v>
      </c>
    </row>
    <row r="316" spans="1:13">
      <c r="A316" s="168"/>
      <c r="B316" s="228" t="s">
        <v>457</v>
      </c>
      <c r="C316" s="140"/>
      <c r="D316" s="157"/>
      <c r="E316" s="248"/>
      <c r="F316" s="34"/>
      <c r="G316" s="257"/>
      <c r="H316" s="257"/>
      <c r="I316" s="253"/>
      <c r="J316" s="257"/>
      <c r="K316" s="257"/>
      <c r="L316" s="257"/>
      <c r="M316" s="257"/>
    </row>
    <row r="317" spans="1:13" ht="19.5">
      <c r="A317" s="60">
        <f>A315+1</f>
        <v>250</v>
      </c>
      <c r="B317" s="164" t="s">
        <v>459</v>
      </c>
      <c r="C317" s="151" t="s">
        <v>452</v>
      </c>
      <c r="D317" s="152" t="s">
        <v>759</v>
      </c>
      <c r="E317" s="284" t="s">
        <v>715</v>
      </c>
      <c r="F317" s="270">
        <v>700</v>
      </c>
      <c r="G317" s="257">
        <f t="shared" ref="G317:G332" si="25">F317/2*0.3</f>
        <v>105</v>
      </c>
      <c r="H317" s="257">
        <f>G317*7.75%</f>
        <v>8.1374999999999993</v>
      </c>
      <c r="I317" s="253"/>
      <c r="J317" s="257"/>
      <c r="K317" s="257">
        <f>G317*0.075</f>
        <v>7.875</v>
      </c>
      <c r="L317" s="257">
        <f>G317*0.01</f>
        <v>1.05</v>
      </c>
      <c r="M317" s="257">
        <f>SUM(G317+H317+I317+J317+K317+L317)+0.01</f>
        <v>122.07250000000001</v>
      </c>
    </row>
    <row r="318" spans="1:13" ht="19.5">
      <c r="A318" s="60">
        <f t="shared" ref="A318:A381" si="26">A317+1</f>
        <v>251</v>
      </c>
      <c r="B318" s="163" t="s">
        <v>461</v>
      </c>
      <c r="C318" s="148" t="s">
        <v>452</v>
      </c>
      <c r="D318" s="149" t="s">
        <v>79</v>
      </c>
      <c r="E318" s="285" t="s">
        <v>715</v>
      </c>
      <c r="F318" s="267">
        <f>712+30+50+50</f>
        <v>842</v>
      </c>
      <c r="G318" s="257">
        <f t="shared" si="25"/>
        <v>126.3</v>
      </c>
      <c r="H318" s="257">
        <f t="shared" ref="H318:H332" si="27">G318*7.75%</f>
        <v>9.7882499999999997</v>
      </c>
      <c r="I318" s="253"/>
      <c r="J318" s="257"/>
      <c r="K318" s="257">
        <f>G318*0.075</f>
        <v>9.4725000000000001</v>
      </c>
      <c r="L318" s="257">
        <f>G318*0.01</f>
        <v>1.2629999999999999</v>
      </c>
      <c r="M318" s="257">
        <f>SUM(G318+H318+I318+J318+K318+L318)</f>
        <v>146.82374999999999</v>
      </c>
    </row>
    <row r="319" spans="1:13" ht="19.5">
      <c r="A319" s="60">
        <f t="shared" si="26"/>
        <v>252</v>
      </c>
      <c r="B319" s="163" t="s">
        <v>461</v>
      </c>
      <c r="C319" s="148" t="s">
        <v>452</v>
      </c>
      <c r="D319" s="149" t="s">
        <v>79</v>
      </c>
      <c r="E319" s="285" t="s">
        <v>715</v>
      </c>
      <c r="F319" s="267">
        <f>694.29+30+50+50</f>
        <v>824.29</v>
      </c>
      <c r="G319" s="257">
        <f t="shared" si="25"/>
        <v>123.64349999999999</v>
      </c>
      <c r="H319" s="257">
        <f t="shared" si="27"/>
        <v>9.5823712499999996</v>
      </c>
      <c r="I319" s="287"/>
      <c r="J319" s="257"/>
      <c r="K319" s="257">
        <f t="shared" ref="K319:K382" si="28">G319*0.075</f>
        <v>9.2732624999999995</v>
      </c>
      <c r="L319" s="257">
        <f t="shared" ref="L319:L382" si="29">G319*0.01</f>
        <v>1.236435</v>
      </c>
      <c r="M319" s="257">
        <f>SUM(G319+H319+I319+J319+K319+L319)-0.01</f>
        <v>143.72556874999998</v>
      </c>
    </row>
    <row r="320" spans="1:13" ht="19.5">
      <c r="A320" s="60">
        <f t="shared" si="26"/>
        <v>253</v>
      </c>
      <c r="B320" s="163" t="s">
        <v>464</v>
      </c>
      <c r="C320" s="148" t="s">
        <v>452</v>
      </c>
      <c r="D320" s="149" t="s">
        <v>79</v>
      </c>
      <c r="E320" s="285" t="s">
        <v>715</v>
      </c>
      <c r="F320" s="267">
        <f>547+30+50+50</f>
        <v>677</v>
      </c>
      <c r="G320" s="257">
        <f t="shared" si="25"/>
        <v>101.55</v>
      </c>
      <c r="H320" s="257">
        <f t="shared" si="27"/>
        <v>7.8701249999999998</v>
      </c>
      <c r="I320" s="253"/>
      <c r="J320" s="257"/>
      <c r="K320" s="257">
        <f t="shared" si="28"/>
        <v>7.6162499999999991</v>
      </c>
      <c r="L320" s="257">
        <f t="shared" si="29"/>
        <v>1.0155000000000001</v>
      </c>
      <c r="M320" s="257">
        <f>SUM(G320+H320+I320+J320+K320+L320)+0.01</f>
        <v>118.061875</v>
      </c>
    </row>
    <row r="321" spans="1:13" ht="19.5">
      <c r="A321" s="60">
        <f t="shared" si="26"/>
        <v>254</v>
      </c>
      <c r="B321" s="163" t="s">
        <v>464</v>
      </c>
      <c r="C321" s="148" t="s">
        <v>452</v>
      </c>
      <c r="D321" s="149" t="s">
        <v>79</v>
      </c>
      <c r="E321" s="285" t="s">
        <v>715</v>
      </c>
      <c r="F321" s="267">
        <f>547+30+50+50</f>
        <v>677</v>
      </c>
      <c r="G321" s="257">
        <f t="shared" si="25"/>
        <v>101.55</v>
      </c>
      <c r="H321" s="257">
        <f t="shared" si="27"/>
        <v>7.8701249999999998</v>
      </c>
      <c r="I321" s="253"/>
      <c r="J321" s="257"/>
      <c r="K321" s="257">
        <f t="shared" si="28"/>
        <v>7.6162499999999991</v>
      </c>
      <c r="L321" s="257">
        <f t="shared" si="29"/>
        <v>1.0155000000000001</v>
      </c>
      <c r="M321" s="257">
        <f>SUM(G321+H321+I321+J321+K321+L321)+0.01</f>
        <v>118.061875</v>
      </c>
    </row>
    <row r="322" spans="1:13" ht="19.5">
      <c r="A322" s="60">
        <f t="shared" si="26"/>
        <v>255</v>
      </c>
      <c r="B322" s="163" t="s">
        <v>646</v>
      </c>
      <c r="C322" s="148" t="s">
        <v>452</v>
      </c>
      <c r="D322" s="149" t="s">
        <v>79</v>
      </c>
      <c r="E322" s="285" t="s">
        <v>715</v>
      </c>
      <c r="F322" s="267">
        <f>467+30+50+50</f>
        <v>597</v>
      </c>
      <c r="G322" s="257">
        <f t="shared" si="25"/>
        <v>89.55</v>
      </c>
      <c r="H322" s="257">
        <f t="shared" si="27"/>
        <v>6.9401250000000001</v>
      </c>
      <c r="I322" s="253"/>
      <c r="J322" s="257"/>
      <c r="K322" s="257">
        <f t="shared" si="28"/>
        <v>6.7162499999999996</v>
      </c>
      <c r="L322" s="257">
        <f t="shared" si="29"/>
        <v>0.89549999999999996</v>
      </c>
      <c r="M322" s="257">
        <f>SUM(G322:L322)+0.01</f>
        <v>104.111875</v>
      </c>
    </row>
    <row r="323" spans="1:13" ht="19.5">
      <c r="A323" s="60">
        <f t="shared" si="26"/>
        <v>256</v>
      </c>
      <c r="B323" s="164" t="s">
        <v>646</v>
      </c>
      <c r="C323" s="151" t="s">
        <v>452</v>
      </c>
      <c r="D323" s="152" t="s">
        <v>759</v>
      </c>
      <c r="E323" s="284" t="s">
        <v>715</v>
      </c>
      <c r="F323" s="270">
        <v>497</v>
      </c>
      <c r="G323" s="257">
        <f t="shared" si="25"/>
        <v>74.55</v>
      </c>
      <c r="H323" s="257">
        <f t="shared" si="27"/>
        <v>5.7776249999999996</v>
      </c>
      <c r="I323" s="253"/>
      <c r="J323" s="257"/>
      <c r="K323" s="257">
        <f t="shared" si="28"/>
        <v>5.5912499999999996</v>
      </c>
      <c r="L323" s="257">
        <f t="shared" si="29"/>
        <v>0.74549999999999994</v>
      </c>
      <c r="M323" s="257">
        <f>SUM(G323:L323)+0.01</f>
        <v>86.674375000000012</v>
      </c>
    </row>
    <row r="324" spans="1:13" ht="19.5">
      <c r="A324" s="60">
        <f t="shared" si="26"/>
        <v>257</v>
      </c>
      <c r="B324" s="163" t="s">
        <v>741</v>
      </c>
      <c r="C324" s="148" t="s">
        <v>452</v>
      </c>
      <c r="D324" s="149" t="s">
        <v>79</v>
      </c>
      <c r="E324" s="285" t="s">
        <v>715</v>
      </c>
      <c r="F324" s="267">
        <f>669.15+30+50+50</f>
        <v>799.15</v>
      </c>
      <c r="G324" s="257">
        <f>F324/2*0.3</f>
        <v>119.87249999999999</v>
      </c>
      <c r="H324" s="257">
        <f>G324*7.75%</f>
        <v>9.2901187499999995</v>
      </c>
      <c r="I324" s="288"/>
      <c r="J324" s="288"/>
      <c r="K324" s="257">
        <f>G324*0.075</f>
        <v>8.9904374999999987</v>
      </c>
      <c r="L324" s="257">
        <f>G324*0.01</f>
        <v>1.1987249999999998</v>
      </c>
      <c r="M324" s="257">
        <f>SUM(G324+H324+I324+J324+K324+L324)</f>
        <v>139.35178124999996</v>
      </c>
    </row>
    <row r="325" spans="1:13" ht="19.5">
      <c r="A325" s="60">
        <f t="shared" si="26"/>
        <v>258</v>
      </c>
      <c r="B325" s="163" t="s">
        <v>741</v>
      </c>
      <c r="C325" s="148" t="s">
        <v>452</v>
      </c>
      <c r="D325" s="149" t="s">
        <v>79</v>
      </c>
      <c r="E325" s="285" t="s">
        <v>715</v>
      </c>
      <c r="F325" s="267">
        <f>669.15+30+50+50</f>
        <v>799.15</v>
      </c>
      <c r="G325" s="257">
        <f>F325/2*0.3</f>
        <v>119.87249999999999</v>
      </c>
      <c r="H325" s="257">
        <f>G325*7.75%</f>
        <v>9.2901187499999995</v>
      </c>
      <c r="I325" s="253"/>
      <c r="J325" s="257"/>
      <c r="K325" s="257">
        <f>G325*0.075</f>
        <v>8.9904374999999987</v>
      </c>
      <c r="L325" s="257">
        <f>G325*0.01</f>
        <v>1.1987249999999998</v>
      </c>
      <c r="M325" s="257">
        <f>SUM(G325+H325+I325+J325+K325+L325)</f>
        <v>139.35178124999996</v>
      </c>
    </row>
    <row r="326" spans="1:13" ht="19.5">
      <c r="A326" s="60">
        <f t="shared" si="26"/>
        <v>259</v>
      </c>
      <c r="B326" s="163" t="s">
        <v>741</v>
      </c>
      <c r="C326" s="148" t="s">
        <v>452</v>
      </c>
      <c r="D326" s="149" t="s">
        <v>79</v>
      </c>
      <c r="E326" s="285" t="s">
        <v>715</v>
      </c>
      <c r="F326" s="267">
        <f>621.72+30+50+50</f>
        <v>751.72</v>
      </c>
      <c r="G326" s="257">
        <f t="shared" si="25"/>
        <v>112.758</v>
      </c>
      <c r="H326" s="257">
        <f t="shared" si="27"/>
        <v>8.7387449999999998</v>
      </c>
      <c r="I326" s="253"/>
      <c r="J326" s="257"/>
      <c r="K326" s="257">
        <f t="shared" si="28"/>
        <v>8.4568499999999993</v>
      </c>
      <c r="L326" s="257">
        <f t="shared" si="29"/>
        <v>1.12758</v>
      </c>
      <c r="M326" s="257">
        <f>SUM(G326+H326+I326+J326+K326+L326)+0.01</f>
        <v>131.09117499999996</v>
      </c>
    </row>
    <row r="327" spans="1:13" ht="19.5">
      <c r="A327" s="60">
        <f t="shared" si="26"/>
        <v>260</v>
      </c>
      <c r="B327" s="163" t="s">
        <v>473</v>
      </c>
      <c r="C327" s="148" t="s">
        <v>452</v>
      </c>
      <c r="D327" s="149" t="s">
        <v>79</v>
      </c>
      <c r="E327" s="285" t="s">
        <v>715</v>
      </c>
      <c r="F327" s="267">
        <f>547+50</f>
        <v>597</v>
      </c>
      <c r="G327" s="257">
        <f t="shared" si="25"/>
        <v>89.55</v>
      </c>
      <c r="H327" s="257">
        <f t="shared" si="27"/>
        <v>6.9401250000000001</v>
      </c>
      <c r="I327" s="253"/>
      <c r="J327" s="257"/>
      <c r="K327" s="257">
        <f t="shared" si="28"/>
        <v>6.7162499999999996</v>
      </c>
      <c r="L327" s="257">
        <f t="shared" si="29"/>
        <v>0.89549999999999996</v>
      </c>
      <c r="M327" s="257">
        <f>SUM(G327+H327+I327+J327+K327+L327)+0.01</f>
        <v>104.111875</v>
      </c>
    </row>
    <row r="328" spans="1:13" ht="19.5">
      <c r="A328" s="60">
        <f t="shared" si="26"/>
        <v>261</v>
      </c>
      <c r="B328" s="163" t="s">
        <v>473</v>
      </c>
      <c r="C328" s="148" t="s">
        <v>452</v>
      </c>
      <c r="D328" s="149" t="s">
        <v>79</v>
      </c>
      <c r="E328" s="285" t="s">
        <v>715</v>
      </c>
      <c r="F328" s="267">
        <v>597</v>
      </c>
      <c r="G328" s="257">
        <f>F328/2*0.3</f>
        <v>89.55</v>
      </c>
      <c r="H328" s="257">
        <f>G328*7.75%</f>
        <v>6.9401250000000001</v>
      </c>
      <c r="I328" s="253"/>
      <c r="J328" s="257"/>
      <c r="K328" s="257">
        <f>G328*0.075</f>
        <v>6.7162499999999996</v>
      </c>
      <c r="L328" s="257">
        <f>G328*0.01</f>
        <v>0.89549999999999996</v>
      </c>
      <c r="M328" s="257">
        <f>SUM(G328+H328+I328+J328+K328+L328)+0.01</f>
        <v>104.111875</v>
      </c>
    </row>
    <row r="329" spans="1:13" ht="19.5">
      <c r="A329" s="60">
        <f t="shared" si="26"/>
        <v>262</v>
      </c>
      <c r="B329" s="163" t="s">
        <v>475</v>
      </c>
      <c r="C329" s="148" t="s">
        <v>452</v>
      </c>
      <c r="D329" s="149" t="s">
        <v>79</v>
      </c>
      <c r="E329" s="285" t="s">
        <v>715</v>
      </c>
      <c r="F329" s="267">
        <f>517+30+50+50</f>
        <v>647</v>
      </c>
      <c r="G329" s="257">
        <f t="shared" si="25"/>
        <v>97.05</v>
      </c>
      <c r="H329" s="257">
        <f>G329*7.75%</f>
        <v>7.5213749999999999</v>
      </c>
      <c r="I329" s="253"/>
      <c r="J329" s="257"/>
      <c r="K329" s="257">
        <f>G329*0.075</f>
        <v>7.2787499999999996</v>
      </c>
      <c r="L329" s="257">
        <f>G329*0.01</f>
        <v>0.97050000000000003</v>
      </c>
      <c r="M329" s="257">
        <f>SUM(G329+H329+I329+J329+K329+L329)</f>
        <v>112.82062500000001</v>
      </c>
    </row>
    <row r="330" spans="1:13" ht="19.5">
      <c r="A330" s="60">
        <f t="shared" si="26"/>
        <v>263</v>
      </c>
      <c r="B330" s="185" t="s">
        <v>689</v>
      </c>
      <c r="C330" s="183" t="s">
        <v>452</v>
      </c>
      <c r="D330" s="184" t="s">
        <v>760</v>
      </c>
      <c r="E330" s="282" t="s">
        <v>715</v>
      </c>
      <c r="F330" s="269">
        <v>497</v>
      </c>
      <c r="G330" s="257">
        <f>F330/2*0.3</f>
        <v>74.55</v>
      </c>
      <c r="H330" s="257">
        <f>G330*7.75%</f>
        <v>5.7776249999999996</v>
      </c>
      <c r="I330" s="253"/>
      <c r="J330" s="257"/>
      <c r="K330" s="257">
        <f>G330*0.075</f>
        <v>5.5912499999999996</v>
      </c>
      <c r="L330" s="257">
        <f>G330*0.01</f>
        <v>0.74549999999999994</v>
      </c>
      <c r="M330" s="257">
        <f>SUM(G330+H330+I330+J330+K330+L330)+0.01</f>
        <v>86.674375000000012</v>
      </c>
    </row>
    <row r="331" spans="1:13" ht="19.5">
      <c r="A331" s="60">
        <f t="shared" si="26"/>
        <v>264</v>
      </c>
      <c r="B331" s="185" t="s">
        <v>479</v>
      </c>
      <c r="C331" s="183" t="s">
        <v>452</v>
      </c>
      <c r="D331" s="184" t="s">
        <v>760</v>
      </c>
      <c r="E331" s="282" t="s">
        <v>715</v>
      </c>
      <c r="F331" s="269">
        <v>500</v>
      </c>
      <c r="G331" s="257">
        <f t="shared" si="25"/>
        <v>75</v>
      </c>
      <c r="H331" s="257">
        <f t="shared" si="27"/>
        <v>5.8125</v>
      </c>
      <c r="I331" s="8"/>
      <c r="J331" s="242"/>
      <c r="K331" s="256">
        <f>G331*0.075</f>
        <v>5.625</v>
      </c>
      <c r="L331" s="256">
        <f>G331*0.01</f>
        <v>0.75</v>
      </c>
      <c r="M331" s="257">
        <f t="shared" ref="M331" si="30">SUM(G331+H331+I331+J331+K331+L331)</f>
        <v>87.1875</v>
      </c>
    </row>
    <row r="332" spans="1:13" ht="19.5">
      <c r="A332" s="60">
        <f>A331+1</f>
        <v>265</v>
      </c>
      <c r="B332" s="163" t="s">
        <v>485</v>
      </c>
      <c r="C332" s="148" t="s">
        <v>452</v>
      </c>
      <c r="D332" s="149" t="s">
        <v>79</v>
      </c>
      <c r="E332" s="285" t="s">
        <v>715</v>
      </c>
      <c r="F332" s="267">
        <f>547+30+50+50</f>
        <v>677</v>
      </c>
      <c r="G332" s="257">
        <f t="shared" si="25"/>
        <v>101.55</v>
      </c>
      <c r="H332" s="257">
        <f t="shared" si="27"/>
        <v>7.8701249999999998</v>
      </c>
      <c r="I332" s="254"/>
      <c r="J332" s="255"/>
      <c r="K332" s="257">
        <f t="shared" si="28"/>
        <v>7.6162499999999991</v>
      </c>
      <c r="L332" s="257">
        <f t="shared" si="29"/>
        <v>1.0155000000000001</v>
      </c>
      <c r="M332" s="257">
        <f>SUM(G332+H332+I332+J332+K332+L332)+0.01</f>
        <v>118.061875</v>
      </c>
    </row>
    <row r="333" spans="1:13">
      <c r="A333" s="168"/>
      <c r="B333" s="228" t="s">
        <v>486</v>
      </c>
      <c r="C333" s="22"/>
      <c r="D333" s="157"/>
      <c r="E333" s="248"/>
      <c r="F333" s="34"/>
      <c r="G333" s="257"/>
      <c r="H333" s="257"/>
      <c r="I333" s="254"/>
      <c r="J333" s="255"/>
      <c r="K333" s="257"/>
      <c r="L333" s="257"/>
      <c r="M333" s="257"/>
    </row>
    <row r="334" spans="1:13" ht="19.5">
      <c r="A334" s="60">
        <f>A332+1</f>
        <v>266</v>
      </c>
      <c r="B334" s="163" t="s">
        <v>488</v>
      </c>
      <c r="C334" s="210" t="s">
        <v>452</v>
      </c>
      <c r="D334" s="149" t="s">
        <v>79</v>
      </c>
      <c r="E334" s="285" t="s">
        <v>715</v>
      </c>
      <c r="F334" s="267">
        <f>517+30</f>
        <v>547</v>
      </c>
      <c r="G334" s="257">
        <f t="shared" ref="G334:G393" si="31">F334/2*0.3</f>
        <v>82.05</v>
      </c>
      <c r="H334" s="257">
        <f t="shared" ref="H334:H389" si="32">G334*7.75%</f>
        <v>6.3588749999999994</v>
      </c>
      <c r="I334" s="257"/>
      <c r="J334" s="257"/>
      <c r="K334" s="257">
        <f>G334*0.075</f>
        <v>6.1537499999999996</v>
      </c>
      <c r="L334" s="257">
        <f>G334*0.01</f>
        <v>0.82050000000000001</v>
      </c>
      <c r="M334" s="257">
        <f>SUM(G334:L334)</f>
        <v>95.383124999999993</v>
      </c>
    </row>
    <row r="335" spans="1:13" ht="19.5">
      <c r="A335" s="60">
        <f>A334+1</f>
        <v>267</v>
      </c>
      <c r="B335" s="163" t="s">
        <v>490</v>
      </c>
      <c r="C335" s="148" t="s">
        <v>452</v>
      </c>
      <c r="D335" s="149" t="s">
        <v>79</v>
      </c>
      <c r="E335" s="285" t="s">
        <v>715</v>
      </c>
      <c r="F335" s="267">
        <f>614.86+30+50+50</f>
        <v>744.86</v>
      </c>
      <c r="G335" s="257">
        <f>F335/2*0.3</f>
        <v>111.729</v>
      </c>
      <c r="H335" s="257">
        <f>G335*7.75%</f>
        <v>8.6589974999999999</v>
      </c>
      <c r="I335" s="253"/>
      <c r="J335" s="257"/>
      <c r="K335" s="257">
        <f>G335*0.075</f>
        <v>8.3796749999999989</v>
      </c>
      <c r="L335" s="257">
        <f>G335*0.01</f>
        <v>1.1172900000000001</v>
      </c>
      <c r="M335" s="257">
        <f t="shared" ref="M335:M340" si="33">SUM(G335+H335+I335+J335+K335+L335)+0.01</f>
        <v>129.89496249999999</v>
      </c>
    </row>
    <row r="336" spans="1:13" ht="19.5">
      <c r="A336" s="60">
        <f>A335+1</f>
        <v>268</v>
      </c>
      <c r="B336" s="163" t="s">
        <v>490</v>
      </c>
      <c r="C336" s="148" t="s">
        <v>452</v>
      </c>
      <c r="D336" s="149" t="s">
        <v>79</v>
      </c>
      <c r="E336" s="285" t="s">
        <v>715</v>
      </c>
      <c r="F336" s="267">
        <f>614.86+30+50+50</f>
        <v>744.86</v>
      </c>
      <c r="G336" s="257">
        <f t="shared" si="31"/>
        <v>111.729</v>
      </c>
      <c r="H336" s="257">
        <f t="shared" si="32"/>
        <v>8.6589974999999999</v>
      </c>
      <c r="I336" s="253"/>
      <c r="J336" s="257"/>
      <c r="K336" s="257">
        <f t="shared" si="28"/>
        <v>8.3796749999999989</v>
      </c>
      <c r="L336" s="257">
        <f t="shared" si="29"/>
        <v>1.1172900000000001</v>
      </c>
      <c r="M336" s="257">
        <f t="shared" si="33"/>
        <v>129.89496249999999</v>
      </c>
    </row>
    <row r="337" spans="1:13" ht="19.5">
      <c r="A337" s="60">
        <f t="shared" ref="A337" si="34">A336+1</f>
        <v>269</v>
      </c>
      <c r="B337" s="163" t="s">
        <v>490</v>
      </c>
      <c r="C337" s="148" t="s">
        <v>452</v>
      </c>
      <c r="D337" s="149" t="s">
        <v>79</v>
      </c>
      <c r="E337" s="285" t="s">
        <v>715</v>
      </c>
      <c r="F337" s="267">
        <f>614.86+30+50+50</f>
        <v>744.86</v>
      </c>
      <c r="G337" s="257">
        <f t="shared" si="31"/>
        <v>111.729</v>
      </c>
      <c r="H337" s="257">
        <f t="shared" si="32"/>
        <v>8.6589974999999999</v>
      </c>
      <c r="I337" s="253"/>
      <c r="J337" s="257"/>
      <c r="K337" s="257">
        <f t="shared" si="28"/>
        <v>8.3796749999999989</v>
      </c>
      <c r="L337" s="257">
        <f t="shared" si="29"/>
        <v>1.1172900000000001</v>
      </c>
      <c r="M337" s="257">
        <f t="shared" si="33"/>
        <v>129.89496249999999</v>
      </c>
    </row>
    <row r="338" spans="1:13" ht="19.5">
      <c r="A338" s="60">
        <f>A337+1</f>
        <v>270</v>
      </c>
      <c r="B338" s="229" t="s">
        <v>494</v>
      </c>
      <c r="C338" s="230" t="s">
        <v>452</v>
      </c>
      <c r="D338" s="199" t="s">
        <v>79</v>
      </c>
      <c r="E338" s="289" t="s">
        <v>715</v>
      </c>
      <c r="F338" s="272">
        <f>547+30+50+50</f>
        <v>677</v>
      </c>
      <c r="G338" s="257">
        <f t="shared" si="31"/>
        <v>101.55</v>
      </c>
      <c r="H338" s="257">
        <f t="shared" si="32"/>
        <v>7.8701249999999998</v>
      </c>
      <c r="I338" s="10"/>
      <c r="J338" s="256"/>
      <c r="K338" s="256">
        <f t="shared" si="28"/>
        <v>7.6162499999999991</v>
      </c>
      <c r="L338" s="256">
        <f t="shared" si="29"/>
        <v>1.0155000000000001</v>
      </c>
      <c r="M338" s="257">
        <f t="shared" si="33"/>
        <v>118.061875</v>
      </c>
    </row>
    <row r="339" spans="1:13" ht="19.5">
      <c r="A339" s="60">
        <f t="shared" ref="A339:A343" si="35">A338+1</f>
        <v>271</v>
      </c>
      <c r="B339" s="163" t="s">
        <v>494</v>
      </c>
      <c r="C339" s="148" t="s">
        <v>452</v>
      </c>
      <c r="D339" s="149" t="s">
        <v>79</v>
      </c>
      <c r="E339" s="285" t="s">
        <v>715</v>
      </c>
      <c r="F339" s="267">
        <f>547+30+50+50</f>
        <v>677</v>
      </c>
      <c r="G339" s="257">
        <f t="shared" si="31"/>
        <v>101.55</v>
      </c>
      <c r="H339" s="257">
        <f t="shared" si="32"/>
        <v>7.8701249999999998</v>
      </c>
      <c r="I339" s="10"/>
      <c r="J339" s="256"/>
      <c r="K339" s="256">
        <f t="shared" si="28"/>
        <v>7.6162499999999991</v>
      </c>
      <c r="L339" s="256">
        <f t="shared" si="29"/>
        <v>1.0155000000000001</v>
      </c>
      <c r="M339" s="257">
        <f t="shared" si="33"/>
        <v>118.061875</v>
      </c>
    </row>
    <row r="340" spans="1:13" ht="19.5">
      <c r="A340" s="60">
        <f t="shared" si="35"/>
        <v>272</v>
      </c>
      <c r="B340" s="163" t="s">
        <v>494</v>
      </c>
      <c r="C340" s="148" t="s">
        <v>452</v>
      </c>
      <c r="D340" s="149" t="s">
        <v>79</v>
      </c>
      <c r="E340" s="285" t="s">
        <v>715</v>
      </c>
      <c r="F340" s="267">
        <f>547+30+50+50</f>
        <v>677</v>
      </c>
      <c r="G340" s="257">
        <f>F340/2*0.3</f>
        <v>101.55</v>
      </c>
      <c r="H340" s="257">
        <f>G340*7.75%</f>
        <v>7.8701249999999998</v>
      </c>
      <c r="I340" s="253"/>
      <c r="J340" s="257"/>
      <c r="K340" s="257">
        <f>G340*0.075</f>
        <v>7.6162499999999991</v>
      </c>
      <c r="L340" s="257">
        <f>G340*0.01</f>
        <v>1.0155000000000001</v>
      </c>
      <c r="M340" s="257">
        <f t="shared" si="33"/>
        <v>118.061875</v>
      </c>
    </row>
    <row r="341" spans="1:13" ht="19.5">
      <c r="A341" s="60">
        <f t="shared" si="35"/>
        <v>273</v>
      </c>
      <c r="B341" s="163" t="s">
        <v>499</v>
      </c>
      <c r="C341" s="148" t="s">
        <v>452</v>
      </c>
      <c r="D341" s="149" t="s">
        <v>79</v>
      </c>
      <c r="E341" s="285" t="s">
        <v>715</v>
      </c>
      <c r="F341" s="267">
        <f t="shared" ref="F341:F346" si="36">467+30+50+50</f>
        <v>597</v>
      </c>
      <c r="G341" s="257">
        <f t="shared" si="31"/>
        <v>89.55</v>
      </c>
      <c r="H341" s="257">
        <f t="shared" si="32"/>
        <v>6.9401250000000001</v>
      </c>
      <c r="I341" s="10"/>
      <c r="J341" s="256"/>
      <c r="K341" s="256">
        <f t="shared" si="28"/>
        <v>6.7162499999999996</v>
      </c>
      <c r="L341" s="256">
        <f t="shared" si="29"/>
        <v>0.89549999999999996</v>
      </c>
      <c r="M341" s="257">
        <f t="shared" ref="M341:M346" si="37">SUM(G341:L341)+0.01</f>
        <v>104.111875</v>
      </c>
    </row>
    <row r="342" spans="1:13" ht="19.5">
      <c r="A342" s="60">
        <f t="shared" si="35"/>
        <v>274</v>
      </c>
      <c r="B342" s="163" t="s">
        <v>499</v>
      </c>
      <c r="C342" s="148" t="s">
        <v>452</v>
      </c>
      <c r="D342" s="149" t="s">
        <v>79</v>
      </c>
      <c r="E342" s="285" t="s">
        <v>715</v>
      </c>
      <c r="F342" s="267">
        <f t="shared" si="36"/>
        <v>597</v>
      </c>
      <c r="G342" s="257">
        <f t="shared" si="31"/>
        <v>89.55</v>
      </c>
      <c r="H342" s="257">
        <f t="shared" si="32"/>
        <v>6.9401250000000001</v>
      </c>
      <c r="I342" s="10"/>
      <c r="J342" s="256"/>
      <c r="K342" s="256">
        <f t="shared" si="28"/>
        <v>6.7162499999999996</v>
      </c>
      <c r="L342" s="256">
        <f t="shared" si="29"/>
        <v>0.89549999999999996</v>
      </c>
      <c r="M342" s="257">
        <f t="shared" si="37"/>
        <v>104.111875</v>
      </c>
    </row>
    <row r="343" spans="1:13" ht="19.5">
      <c r="A343" s="60">
        <f t="shared" si="35"/>
        <v>275</v>
      </c>
      <c r="B343" s="163" t="s">
        <v>499</v>
      </c>
      <c r="C343" s="148" t="s">
        <v>452</v>
      </c>
      <c r="D343" s="149" t="s">
        <v>79</v>
      </c>
      <c r="E343" s="285" t="s">
        <v>715</v>
      </c>
      <c r="F343" s="267">
        <f t="shared" si="36"/>
        <v>597</v>
      </c>
      <c r="G343" s="257">
        <f t="shared" si="31"/>
        <v>89.55</v>
      </c>
      <c r="H343" s="257">
        <f t="shared" si="32"/>
        <v>6.9401250000000001</v>
      </c>
      <c r="I343" s="253"/>
      <c r="J343" s="257"/>
      <c r="K343" s="257">
        <f t="shared" si="28"/>
        <v>6.7162499999999996</v>
      </c>
      <c r="L343" s="257">
        <f t="shared" si="29"/>
        <v>0.89549999999999996</v>
      </c>
      <c r="M343" s="257">
        <f t="shared" si="37"/>
        <v>104.111875</v>
      </c>
    </row>
    <row r="344" spans="1:13" ht="19.5">
      <c r="A344" s="60">
        <f t="shared" si="26"/>
        <v>276</v>
      </c>
      <c r="B344" s="163" t="s">
        <v>499</v>
      </c>
      <c r="C344" s="148" t="s">
        <v>452</v>
      </c>
      <c r="D344" s="149" t="s">
        <v>79</v>
      </c>
      <c r="E344" s="285" t="s">
        <v>715</v>
      </c>
      <c r="F344" s="267">
        <f t="shared" si="36"/>
        <v>597</v>
      </c>
      <c r="G344" s="257">
        <f t="shared" si="31"/>
        <v>89.55</v>
      </c>
      <c r="H344" s="257">
        <f t="shared" si="32"/>
        <v>6.9401250000000001</v>
      </c>
      <c r="I344" s="253"/>
      <c r="J344" s="257"/>
      <c r="K344" s="257">
        <f t="shared" si="28"/>
        <v>6.7162499999999996</v>
      </c>
      <c r="L344" s="257">
        <f t="shared" si="29"/>
        <v>0.89549999999999996</v>
      </c>
      <c r="M344" s="257">
        <f t="shared" si="37"/>
        <v>104.111875</v>
      </c>
    </row>
    <row r="345" spans="1:13" ht="19.5">
      <c r="A345" s="60">
        <f t="shared" si="26"/>
        <v>277</v>
      </c>
      <c r="B345" s="163" t="s">
        <v>499</v>
      </c>
      <c r="C345" s="148" t="s">
        <v>452</v>
      </c>
      <c r="D345" s="149" t="s">
        <v>79</v>
      </c>
      <c r="E345" s="285" t="s">
        <v>715</v>
      </c>
      <c r="F345" s="267">
        <f t="shared" si="36"/>
        <v>597</v>
      </c>
      <c r="G345" s="256">
        <f t="shared" si="31"/>
        <v>89.55</v>
      </c>
      <c r="H345" s="257">
        <f t="shared" si="32"/>
        <v>6.9401250000000001</v>
      </c>
      <c r="I345" s="10"/>
      <c r="J345" s="256"/>
      <c r="K345" s="256">
        <f>G345*0.075</f>
        <v>6.7162499999999996</v>
      </c>
      <c r="L345" s="256">
        <f>G345*0.01</f>
        <v>0.89549999999999996</v>
      </c>
      <c r="M345" s="257">
        <f t="shared" si="37"/>
        <v>104.111875</v>
      </c>
    </row>
    <row r="346" spans="1:13" ht="19.5">
      <c r="A346" s="60">
        <f>A345+1</f>
        <v>278</v>
      </c>
      <c r="B346" s="231" t="s">
        <v>499</v>
      </c>
      <c r="C346" s="148" t="s">
        <v>452</v>
      </c>
      <c r="D346" s="149" t="s">
        <v>79</v>
      </c>
      <c r="E346" s="285" t="s">
        <v>715</v>
      </c>
      <c r="F346" s="267">
        <f t="shared" si="36"/>
        <v>597</v>
      </c>
      <c r="G346" s="256">
        <f>F346/2*0.3</f>
        <v>89.55</v>
      </c>
      <c r="H346" s="257">
        <f t="shared" si="32"/>
        <v>6.9401250000000001</v>
      </c>
      <c r="I346" s="10"/>
      <c r="J346" s="256"/>
      <c r="K346" s="256">
        <f>G346*0.075</f>
        <v>6.7162499999999996</v>
      </c>
      <c r="L346" s="256">
        <f>G346*0.01</f>
        <v>0.89549999999999996</v>
      </c>
      <c r="M346" s="257">
        <f t="shared" si="37"/>
        <v>104.111875</v>
      </c>
    </row>
    <row r="347" spans="1:13" ht="19.5">
      <c r="A347" s="60">
        <f>A346+1</f>
        <v>279</v>
      </c>
      <c r="B347" s="163" t="s">
        <v>647</v>
      </c>
      <c r="C347" s="148" t="s">
        <v>452</v>
      </c>
      <c r="D347" s="149" t="s">
        <v>79</v>
      </c>
      <c r="E347" s="285" t="s">
        <v>715</v>
      </c>
      <c r="F347" s="267">
        <f>417+30+50+50</f>
        <v>547</v>
      </c>
      <c r="G347" s="257">
        <f t="shared" si="31"/>
        <v>82.05</v>
      </c>
      <c r="H347" s="257">
        <f t="shared" si="32"/>
        <v>6.3588749999999994</v>
      </c>
      <c r="I347" s="253"/>
      <c r="J347" s="257"/>
      <c r="K347" s="257">
        <f t="shared" si="28"/>
        <v>6.1537499999999996</v>
      </c>
      <c r="L347" s="257">
        <f t="shared" si="29"/>
        <v>0.82050000000000001</v>
      </c>
      <c r="M347" s="257">
        <f>SUM(G347+H347+I347+J347+K347+L347)</f>
        <v>95.383124999999993</v>
      </c>
    </row>
    <row r="348" spans="1:13" ht="19.5">
      <c r="A348" s="60">
        <f t="shared" si="26"/>
        <v>280</v>
      </c>
      <c r="B348" s="163" t="s">
        <v>647</v>
      </c>
      <c r="C348" s="148" t="s">
        <v>452</v>
      </c>
      <c r="D348" s="149" t="s">
        <v>79</v>
      </c>
      <c r="E348" s="285" t="s">
        <v>715</v>
      </c>
      <c r="F348" s="267">
        <f>417+30+50+50</f>
        <v>547</v>
      </c>
      <c r="G348" s="257">
        <f t="shared" si="31"/>
        <v>82.05</v>
      </c>
      <c r="H348" s="257">
        <f t="shared" si="32"/>
        <v>6.3588749999999994</v>
      </c>
      <c r="I348" s="253"/>
      <c r="J348" s="257"/>
      <c r="K348" s="257">
        <f t="shared" si="28"/>
        <v>6.1537499999999996</v>
      </c>
      <c r="L348" s="257">
        <f t="shared" si="29"/>
        <v>0.82050000000000001</v>
      </c>
      <c r="M348" s="257">
        <f>SUM(G348+H348+I348+J348+K348+L348)</f>
        <v>95.383124999999993</v>
      </c>
    </row>
    <row r="349" spans="1:13" ht="19.5">
      <c r="A349" s="60">
        <f t="shared" si="26"/>
        <v>281</v>
      </c>
      <c r="B349" s="163" t="s">
        <v>647</v>
      </c>
      <c r="C349" s="148" t="s">
        <v>452</v>
      </c>
      <c r="D349" s="149" t="s">
        <v>79</v>
      </c>
      <c r="E349" s="285" t="s">
        <v>715</v>
      </c>
      <c r="F349" s="267">
        <f>417+50+50</f>
        <v>517</v>
      </c>
      <c r="G349" s="288">
        <f t="shared" si="31"/>
        <v>77.55</v>
      </c>
      <c r="H349" s="257">
        <f t="shared" si="32"/>
        <v>6.0101249999999995</v>
      </c>
      <c r="I349" s="290"/>
      <c r="J349" s="291"/>
      <c r="K349" s="256">
        <f t="shared" si="28"/>
        <v>5.8162499999999993</v>
      </c>
      <c r="L349" s="292">
        <f t="shared" si="29"/>
        <v>0.77549999999999997</v>
      </c>
      <c r="M349" s="257">
        <f>SUM(G349:L349)+0.01</f>
        <v>90.161874999999995</v>
      </c>
    </row>
    <row r="350" spans="1:13" ht="19.5">
      <c r="A350" s="60">
        <f t="shared" si="26"/>
        <v>282</v>
      </c>
      <c r="B350" s="163" t="s">
        <v>647</v>
      </c>
      <c r="C350" s="148" t="s">
        <v>452</v>
      </c>
      <c r="D350" s="149" t="s">
        <v>79</v>
      </c>
      <c r="E350" s="285" t="s">
        <v>715</v>
      </c>
      <c r="F350" s="267">
        <f>417+50+50</f>
        <v>517</v>
      </c>
      <c r="G350" s="257">
        <f t="shared" si="31"/>
        <v>77.55</v>
      </c>
      <c r="H350" s="257">
        <f t="shared" si="32"/>
        <v>6.0101249999999995</v>
      </c>
      <c r="I350" s="257"/>
      <c r="J350" s="257"/>
      <c r="K350" s="257">
        <f t="shared" si="28"/>
        <v>5.8162499999999993</v>
      </c>
      <c r="L350" s="257">
        <f t="shared" si="29"/>
        <v>0.77549999999999997</v>
      </c>
      <c r="M350" s="257">
        <f>SUM(G350:L350)+0.01</f>
        <v>90.161874999999995</v>
      </c>
    </row>
    <row r="351" spans="1:13" ht="19.5">
      <c r="A351" s="60">
        <f t="shared" si="26"/>
        <v>283</v>
      </c>
      <c r="B351" s="163" t="s">
        <v>647</v>
      </c>
      <c r="C351" s="148" t="s">
        <v>452</v>
      </c>
      <c r="D351" s="149" t="s">
        <v>79</v>
      </c>
      <c r="E351" s="285" t="s">
        <v>715</v>
      </c>
      <c r="F351" s="267">
        <f>417+50+50</f>
        <v>517</v>
      </c>
      <c r="G351" s="257">
        <f t="shared" si="31"/>
        <v>77.55</v>
      </c>
      <c r="H351" s="257">
        <f t="shared" si="32"/>
        <v>6.0101249999999995</v>
      </c>
      <c r="I351" s="253"/>
      <c r="J351" s="257"/>
      <c r="K351" s="257">
        <f t="shared" si="28"/>
        <v>5.8162499999999993</v>
      </c>
      <c r="L351" s="257">
        <f t="shared" si="29"/>
        <v>0.77549999999999997</v>
      </c>
      <c r="M351" s="257">
        <f>SUM(G351:L351)+0.01</f>
        <v>90.161874999999995</v>
      </c>
    </row>
    <row r="352" spans="1:13" ht="19.5">
      <c r="A352" s="60">
        <f t="shared" si="26"/>
        <v>284</v>
      </c>
      <c r="B352" s="163" t="s">
        <v>647</v>
      </c>
      <c r="C352" s="148" t="s">
        <v>452</v>
      </c>
      <c r="D352" s="149" t="s">
        <v>79</v>
      </c>
      <c r="E352" s="285" t="s">
        <v>715</v>
      </c>
      <c r="F352" s="267">
        <f>417+50+50</f>
        <v>517</v>
      </c>
      <c r="G352" s="257">
        <f t="shared" si="31"/>
        <v>77.55</v>
      </c>
      <c r="H352" s="257">
        <f t="shared" si="32"/>
        <v>6.0101249999999995</v>
      </c>
      <c r="I352" s="257"/>
      <c r="J352" s="257"/>
      <c r="K352" s="257">
        <f t="shared" si="28"/>
        <v>5.8162499999999993</v>
      </c>
      <c r="L352" s="257">
        <f t="shared" si="29"/>
        <v>0.77549999999999997</v>
      </c>
      <c r="M352" s="257">
        <f>SUM(G352:L352)+0.01</f>
        <v>90.161874999999995</v>
      </c>
    </row>
    <row r="353" spans="1:13" ht="19.5">
      <c r="A353" s="60">
        <f t="shared" si="26"/>
        <v>285</v>
      </c>
      <c r="B353" s="163" t="s">
        <v>647</v>
      </c>
      <c r="C353" s="148" t="s">
        <v>452</v>
      </c>
      <c r="D353" s="149" t="s">
        <v>79</v>
      </c>
      <c r="E353" s="285" t="s">
        <v>715</v>
      </c>
      <c r="F353" s="267">
        <f>417+50+50</f>
        <v>517</v>
      </c>
      <c r="G353" s="257">
        <f t="shared" si="31"/>
        <v>77.55</v>
      </c>
      <c r="H353" s="257">
        <f t="shared" si="32"/>
        <v>6.0101249999999995</v>
      </c>
      <c r="I353" s="253"/>
      <c r="J353" s="257"/>
      <c r="K353" s="257">
        <f t="shared" si="28"/>
        <v>5.8162499999999993</v>
      </c>
      <c r="L353" s="257">
        <f t="shared" si="29"/>
        <v>0.77549999999999997</v>
      </c>
      <c r="M353" s="257">
        <f>SUM(G353:L353)+0.01</f>
        <v>90.161874999999995</v>
      </c>
    </row>
    <row r="354" spans="1:13" ht="19.5">
      <c r="A354" s="60">
        <f t="shared" si="26"/>
        <v>286</v>
      </c>
      <c r="B354" s="163" t="s">
        <v>647</v>
      </c>
      <c r="C354" s="148" t="s">
        <v>452</v>
      </c>
      <c r="D354" s="149" t="s">
        <v>79</v>
      </c>
      <c r="E354" s="285" t="s">
        <v>715</v>
      </c>
      <c r="F354" s="267">
        <f>417+50</f>
        <v>467</v>
      </c>
      <c r="G354" s="257">
        <f t="shared" si="31"/>
        <v>70.05</v>
      </c>
      <c r="H354" s="257">
        <f t="shared" si="32"/>
        <v>5.4288749999999997</v>
      </c>
      <c r="I354" s="253"/>
      <c r="J354" s="257"/>
      <c r="K354" s="257">
        <f>G354*0.075</f>
        <v>5.2537499999999993</v>
      </c>
      <c r="L354" s="257">
        <f>G354*0.01</f>
        <v>0.70050000000000001</v>
      </c>
      <c r="M354" s="257">
        <f>SUM(G354:L354)</f>
        <v>81.433125000000004</v>
      </c>
    </row>
    <row r="355" spans="1:13" ht="19.5">
      <c r="A355" s="60">
        <f t="shared" si="26"/>
        <v>287</v>
      </c>
      <c r="B355" s="163" t="s">
        <v>797</v>
      </c>
      <c r="C355" s="148" t="s">
        <v>452</v>
      </c>
      <c r="D355" s="149" t="s">
        <v>79</v>
      </c>
      <c r="E355" s="285" t="s">
        <v>715</v>
      </c>
      <c r="F355" s="267">
        <f>547+50</f>
        <v>597</v>
      </c>
      <c r="G355" s="257">
        <f>F355/2*0.3</f>
        <v>89.55</v>
      </c>
      <c r="H355" s="257">
        <f t="shared" si="32"/>
        <v>6.9401250000000001</v>
      </c>
      <c r="I355" s="253"/>
      <c r="J355" s="257"/>
      <c r="K355" s="257">
        <f>G355*0.075</f>
        <v>6.7162499999999996</v>
      </c>
      <c r="L355" s="257">
        <f>G355*0.01</f>
        <v>0.89549999999999996</v>
      </c>
      <c r="M355" s="257">
        <f>SUM(G355:L355)+0.01</f>
        <v>104.111875</v>
      </c>
    </row>
    <row r="356" spans="1:13" ht="19.5">
      <c r="A356" s="60">
        <f t="shared" si="26"/>
        <v>288</v>
      </c>
      <c r="B356" s="185" t="s">
        <v>720</v>
      </c>
      <c r="C356" s="183" t="s">
        <v>452</v>
      </c>
      <c r="D356" s="184" t="s">
        <v>760</v>
      </c>
      <c r="E356" s="282" t="s">
        <v>715</v>
      </c>
      <c r="F356" s="269">
        <f>417</f>
        <v>417</v>
      </c>
      <c r="G356" s="257">
        <f>F356/2*0.3</f>
        <v>62.55</v>
      </c>
      <c r="H356" s="257">
        <f t="shared" si="32"/>
        <v>4.8476249999999999</v>
      </c>
      <c r="I356" s="253"/>
      <c r="J356" s="257"/>
      <c r="K356" s="257">
        <f>G356*0.075</f>
        <v>4.6912499999999993</v>
      </c>
      <c r="L356" s="257">
        <f>G356*0.01</f>
        <v>0.62549999999999994</v>
      </c>
      <c r="M356" s="257">
        <f>SUM(G356:L356)+0.01</f>
        <v>72.724374999999995</v>
      </c>
    </row>
    <row r="357" spans="1:13" ht="19.5">
      <c r="A357" s="60">
        <f t="shared" si="26"/>
        <v>289</v>
      </c>
      <c r="B357" s="185" t="s">
        <v>720</v>
      </c>
      <c r="C357" s="183" t="s">
        <v>452</v>
      </c>
      <c r="D357" s="184" t="s">
        <v>760</v>
      </c>
      <c r="E357" s="282" t="s">
        <v>715</v>
      </c>
      <c r="F357" s="269">
        <f>417</f>
        <v>417</v>
      </c>
      <c r="G357" s="257">
        <f>F357/2*0.3</f>
        <v>62.55</v>
      </c>
      <c r="H357" s="257">
        <f t="shared" si="32"/>
        <v>4.8476249999999999</v>
      </c>
      <c r="I357" s="253"/>
      <c r="J357" s="257"/>
      <c r="K357" s="257">
        <f>G357*0.075</f>
        <v>4.6912499999999993</v>
      </c>
      <c r="L357" s="257">
        <f>G357*0.01</f>
        <v>0.62549999999999994</v>
      </c>
      <c r="M357" s="257">
        <f>SUM(G357:L357)+0.01</f>
        <v>72.724374999999995</v>
      </c>
    </row>
    <row r="358" spans="1:13" ht="19.5">
      <c r="A358" s="60">
        <f t="shared" si="26"/>
        <v>290</v>
      </c>
      <c r="B358" s="185" t="s">
        <v>720</v>
      </c>
      <c r="C358" s="183" t="s">
        <v>452</v>
      </c>
      <c r="D358" s="184" t="s">
        <v>760</v>
      </c>
      <c r="E358" s="282" t="s">
        <v>715</v>
      </c>
      <c r="F358" s="269">
        <f>417</f>
        <v>417</v>
      </c>
      <c r="G358" s="257">
        <f>F358/2*0.3</f>
        <v>62.55</v>
      </c>
      <c r="H358" s="257">
        <f t="shared" si="32"/>
        <v>4.8476249999999999</v>
      </c>
      <c r="I358" s="253"/>
      <c r="J358" s="257"/>
      <c r="K358" s="257">
        <f>G358*0.075</f>
        <v>4.6912499999999993</v>
      </c>
      <c r="L358" s="257">
        <f>G358*0.01</f>
        <v>0.62549999999999994</v>
      </c>
      <c r="M358" s="257">
        <f>SUM(G358:L358)+0.01</f>
        <v>72.724374999999995</v>
      </c>
    </row>
    <row r="359" spans="1:13" ht="19.5">
      <c r="A359" s="60">
        <f t="shared" si="26"/>
        <v>291</v>
      </c>
      <c r="B359" s="185" t="s">
        <v>720</v>
      </c>
      <c r="C359" s="183" t="s">
        <v>452</v>
      </c>
      <c r="D359" s="184" t="s">
        <v>760</v>
      </c>
      <c r="E359" s="282" t="s">
        <v>715</v>
      </c>
      <c r="F359" s="269">
        <f>417</f>
        <v>417</v>
      </c>
      <c r="G359" s="257">
        <f t="shared" ref="G359:G365" si="38">F359/2*0.3</f>
        <v>62.55</v>
      </c>
      <c r="H359" s="257">
        <f t="shared" si="32"/>
        <v>4.8476249999999999</v>
      </c>
      <c r="I359" s="253"/>
      <c r="J359" s="257"/>
      <c r="K359" s="257">
        <f t="shared" ref="K359:K365" si="39">G359*0.075</f>
        <v>4.6912499999999993</v>
      </c>
      <c r="L359" s="257">
        <f t="shared" ref="L359:L365" si="40">G359*0.01</f>
        <v>0.62549999999999994</v>
      </c>
      <c r="M359" s="257">
        <f t="shared" ref="M359:M365" si="41">SUM(G359:L359)+0.01</f>
        <v>72.724374999999995</v>
      </c>
    </row>
    <row r="360" spans="1:13" ht="19.5">
      <c r="A360" s="60">
        <f t="shared" si="26"/>
        <v>292</v>
      </c>
      <c r="B360" s="185" t="s">
        <v>720</v>
      </c>
      <c r="C360" s="183" t="s">
        <v>452</v>
      </c>
      <c r="D360" s="184" t="s">
        <v>760</v>
      </c>
      <c r="E360" s="282" t="s">
        <v>715</v>
      </c>
      <c r="F360" s="269">
        <f>417</f>
        <v>417</v>
      </c>
      <c r="G360" s="257">
        <f t="shared" si="38"/>
        <v>62.55</v>
      </c>
      <c r="H360" s="257">
        <f t="shared" si="32"/>
        <v>4.8476249999999999</v>
      </c>
      <c r="I360" s="253"/>
      <c r="J360" s="257"/>
      <c r="K360" s="257">
        <f t="shared" si="39"/>
        <v>4.6912499999999993</v>
      </c>
      <c r="L360" s="257">
        <f t="shared" si="40"/>
        <v>0.62549999999999994</v>
      </c>
      <c r="M360" s="257">
        <f t="shared" si="41"/>
        <v>72.724374999999995</v>
      </c>
    </row>
    <row r="361" spans="1:13" ht="19.5">
      <c r="A361" s="60">
        <f t="shared" si="26"/>
        <v>293</v>
      </c>
      <c r="B361" s="185" t="s">
        <v>720</v>
      </c>
      <c r="C361" s="183" t="s">
        <v>452</v>
      </c>
      <c r="D361" s="184" t="s">
        <v>760</v>
      </c>
      <c r="E361" s="282" t="s">
        <v>715</v>
      </c>
      <c r="F361" s="269">
        <f>417</f>
        <v>417</v>
      </c>
      <c r="G361" s="257">
        <f t="shared" si="38"/>
        <v>62.55</v>
      </c>
      <c r="H361" s="257">
        <f t="shared" si="32"/>
        <v>4.8476249999999999</v>
      </c>
      <c r="I361" s="253"/>
      <c r="J361" s="257"/>
      <c r="K361" s="257">
        <f t="shared" si="39"/>
        <v>4.6912499999999993</v>
      </c>
      <c r="L361" s="257">
        <f t="shared" si="40"/>
        <v>0.62549999999999994</v>
      </c>
      <c r="M361" s="257">
        <f t="shared" si="41"/>
        <v>72.724374999999995</v>
      </c>
    </row>
    <row r="362" spans="1:13" ht="19.5">
      <c r="A362" s="60">
        <f t="shared" si="26"/>
        <v>294</v>
      </c>
      <c r="B362" s="185" t="s">
        <v>720</v>
      </c>
      <c r="C362" s="183" t="s">
        <v>452</v>
      </c>
      <c r="D362" s="184" t="s">
        <v>760</v>
      </c>
      <c r="E362" s="282" t="s">
        <v>715</v>
      </c>
      <c r="F362" s="269">
        <f>417</f>
        <v>417</v>
      </c>
      <c r="G362" s="257">
        <f t="shared" si="38"/>
        <v>62.55</v>
      </c>
      <c r="H362" s="257">
        <f t="shared" si="32"/>
        <v>4.8476249999999999</v>
      </c>
      <c r="I362" s="253"/>
      <c r="J362" s="257"/>
      <c r="K362" s="257">
        <f t="shared" si="39"/>
        <v>4.6912499999999993</v>
      </c>
      <c r="L362" s="257">
        <f t="shared" si="40"/>
        <v>0.62549999999999994</v>
      </c>
      <c r="M362" s="257">
        <f t="shared" si="41"/>
        <v>72.724374999999995</v>
      </c>
    </row>
    <row r="363" spans="1:13" ht="19.5">
      <c r="A363" s="60">
        <f t="shared" si="26"/>
        <v>295</v>
      </c>
      <c r="B363" s="185" t="s">
        <v>720</v>
      </c>
      <c r="C363" s="183" t="s">
        <v>452</v>
      </c>
      <c r="D363" s="184" t="s">
        <v>760</v>
      </c>
      <c r="E363" s="282" t="s">
        <v>715</v>
      </c>
      <c r="F363" s="269">
        <f>417</f>
        <v>417</v>
      </c>
      <c r="G363" s="257">
        <f t="shared" si="38"/>
        <v>62.55</v>
      </c>
      <c r="H363" s="257">
        <f t="shared" si="32"/>
        <v>4.8476249999999999</v>
      </c>
      <c r="I363" s="253"/>
      <c r="J363" s="257"/>
      <c r="K363" s="257">
        <f t="shared" si="39"/>
        <v>4.6912499999999993</v>
      </c>
      <c r="L363" s="257">
        <f t="shared" si="40"/>
        <v>0.62549999999999994</v>
      </c>
      <c r="M363" s="257">
        <f t="shared" si="41"/>
        <v>72.724374999999995</v>
      </c>
    </row>
    <row r="364" spans="1:13" ht="19.5">
      <c r="A364" s="60">
        <f t="shared" si="26"/>
        <v>296</v>
      </c>
      <c r="B364" s="185" t="s">
        <v>720</v>
      </c>
      <c r="C364" s="183" t="s">
        <v>452</v>
      </c>
      <c r="D364" s="184" t="s">
        <v>760</v>
      </c>
      <c r="E364" s="282" t="s">
        <v>715</v>
      </c>
      <c r="F364" s="269">
        <f>417</f>
        <v>417</v>
      </c>
      <c r="G364" s="257">
        <f t="shared" si="38"/>
        <v>62.55</v>
      </c>
      <c r="H364" s="257">
        <f t="shared" si="32"/>
        <v>4.8476249999999999</v>
      </c>
      <c r="I364" s="253"/>
      <c r="J364" s="257"/>
      <c r="K364" s="257">
        <f t="shared" si="39"/>
        <v>4.6912499999999993</v>
      </c>
      <c r="L364" s="257">
        <f t="shared" si="40"/>
        <v>0.62549999999999994</v>
      </c>
      <c r="M364" s="257">
        <f t="shared" si="41"/>
        <v>72.724374999999995</v>
      </c>
    </row>
    <row r="365" spans="1:13" ht="19.5">
      <c r="A365" s="60">
        <f>A364+1</f>
        <v>297</v>
      </c>
      <c r="B365" s="185" t="s">
        <v>720</v>
      </c>
      <c r="C365" s="183" t="s">
        <v>452</v>
      </c>
      <c r="D365" s="184" t="s">
        <v>760</v>
      </c>
      <c r="E365" s="282" t="s">
        <v>715</v>
      </c>
      <c r="F365" s="269">
        <f>417</f>
        <v>417</v>
      </c>
      <c r="G365" s="257">
        <f t="shared" si="38"/>
        <v>62.55</v>
      </c>
      <c r="H365" s="257">
        <f t="shared" si="32"/>
        <v>4.8476249999999999</v>
      </c>
      <c r="I365" s="253"/>
      <c r="J365" s="257"/>
      <c r="K365" s="257">
        <f t="shared" si="39"/>
        <v>4.6912499999999993</v>
      </c>
      <c r="L365" s="257">
        <f t="shared" si="40"/>
        <v>0.62549999999999994</v>
      </c>
      <c r="M365" s="257">
        <f t="shared" si="41"/>
        <v>72.724374999999995</v>
      </c>
    </row>
    <row r="366" spans="1:13" ht="19.5">
      <c r="A366" s="60">
        <f t="shared" ref="A366:A368" si="42">A365+1</f>
        <v>298</v>
      </c>
      <c r="B366" s="163" t="s">
        <v>648</v>
      </c>
      <c r="C366" s="148" t="s">
        <v>452</v>
      </c>
      <c r="D366" s="149" t="s">
        <v>79</v>
      </c>
      <c r="E366" s="285" t="s">
        <v>715</v>
      </c>
      <c r="F366" s="267">
        <v>700</v>
      </c>
      <c r="G366" s="257">
        <f>F366/2*0.3</f>
        <v>105</v>
      </c>
      <c r="H366" s="257">
        <f t="shared" si="32"/>
        <v>8.1374999999999993</v>
      </c>
      <c r="I366" s="253"/>
      <c r="J366" s="257"/>
      <c r="K366" s="257">
        <f>G366*0.075</f>
        <v>7.875</v>
      </c>
      <c r="L366" s="257">
        <f>G366*0.01</f>
        <v>1.05</v>
      </c>
      <c r="M366" s="257">
        <f>SUM(G366:L366)+0.01</f>
        <v>122.07250000000001</v>
      </c>
    </row>
    <row r="367" spans="1:13" ht="19.5">
      <c r="A367" s="60">
        <f t="shared" si="42"/>
        <v>299</v>
      </c>
      <c r="B367" s="163" t="s">
        <v>649</v>
      </c>
      <c r="C367" s="148" t="s">
        <v>452</v>
      </c>
      <c r="D367" s="149" t="s">
        <v>79</v>
      </c>
      <c r="E367" s="285" t="s">
        <v>715</v>
      </c>
      <c r="F367" s="267">
        <f>614.86+30+50+50</f>
        <v>744.86</v>
      </c>
      <c r="G367" s="257">
        <f t="shared" si="31"/>
        <v>111.729</v>
      </c>
      <c r="H367" s="257">
        <f t="shared" si="32"/>
        <v>8.6589974999999999</v>
      </c>
      <c r="I367" s="253"/>
      <c r="J367" s="257"/>
      <c r="K367" s="257">
        <f t="shared" si="28"/>
        <v>8.3796749999999989</v>
      </c>
      <c r="L367" s="257">
        <f t="shared" si="29"/>
        <v>1.1172900000000001</v>
      </c>
      <c r="M367" s="257">
        <f>SUM(G367+H367+I367+J367+K367+L367)+0.01</f>
        <v>129.89496249999999</v>
      </c>
    </row>
    <row r="368" spans="1:13" ht="19.5">
      <c r="A368" s="60">
        <f t="shared" si="42"/>
        <v>300</v>
      </c>
      <c r="B368" s="163" t="s">
        <v>649</v>
      </c>
      <c r="C368" s="148" t="s">
        <v>452</v>
      </c>
      <c r="D368" s="149" t="s">
        <v>79</v>
      </c>
      <c r="E368" s="285" t="s">
        <v>715</v>
      </c>
      <c r="F368" s="267">
        <f>614.86+30+50+50</f>
        <v>744.86</v>
      </c>
      <c r="G368" s="257">
        <f t="shared" si="31"/>
        <v>111.729</v>
      </c>
      <c r="H368" s="257">
        <f t="shared" si="32"/>
        <v>8.6589974999999999</v>
      </c>
      <c r="I368" s="253"/>
      <c r="J368" s="257"/>
      <c r="K368" s="257">
        <f t="shared" si="28"/>
        <v>8.3796749999999989</v>
      </c>
      <c r="L368" s="257">
        <f t="shared" si="29"/>
        <v>1.1172900000000001</v>
      </c>
      <c r="M368" s="257">
        <f>SUM(G368+H368+I368+J368+K368+L368)+0.01</f>
        <v>129.89496249999999</v>
      </c>
    </row>
    <row r="369" spans="1:13" ht="19.5">
      <c r="A369" s="60">
        <f t="shared" si="26"/>
        <v>301</v>
      </c>
      <c r="B369" s="231" t="s">
        <v>649</v>
      </c>
      <c r="C369" s="148" t="s">
        <v>452</v>
      </c>
      <c r="D369" s="149" t="s">
        <v>79</v>
      </c>
      <c r="E369" s="285" t="s">
        <v>715</v>
      </c>
      <c r="F369" s="267">
        <f>614.86+30+50+50</f>
        <v>744.86</v>
      </c>
      <c r="G369" s="256">
        <f>F369/2*0.3</f>
        <v>111.729</v>
      </c>
      <c r="H369" s="257">
        <f t="shared" si="32"/>
        <v>8.6589974999999999</v>
      </c>
      <c r="I369" s="10"/>
      <c r="J369" s="256"/>
      <c r="K369" s="256">
        <f>G369*0.075</f>
        <v>8.3796749999999989</v>
      </c>
      <c r="L369" s="256">
        <f>G369*0.01</f>
        <v>1.1172900000000001</v>
      </c>
      <c r="M369" s="257">
        <f>SUM(G369:L369)+0.01</f>
        <v>129.89496249999999</v>
      </c>
    </row>
    <row r="370" spans="1:13" ht="19.5">
      <c r="A370" s="60">
        <f>A369+1</f>
        <v>302</v>
      </c>
      <c r="B370" s="163" t="s">
        <v>649</v>
      </c>
      <c r="C370" s="148" t="s">
        <v>452</v>
      </c>
      <c r="D370" s="149" t="s">
        <v>79</v>
      </c>
      <c r="E370" s="285" t="s">
        <v>715</v>
      </c>
      <c r="F370" s="267">
        <f>601.72+30+50+50</f>
        <v>731.72</v>
      </c>
      <c r="G370" s="257">
        <f t="shared" si="31"/>
        <v>109.758</v>
      </c>
      <c r="H370" s="257">
        <f t="shared" si="32"/>
        <v>8.5062449999999998</v>
      </c>
      <c r="I370" s="253"/>
      <c r="J370" s="257"/>
      <c r="K370" s="257">
        <f t="shared" si="28"/>
        <v>8.2318499999999997</v>
      </c>
      <c r="L370" s="257">
        <f t="shared" si="29"/>
        <v>1.09758</v>
      </c>
      <c r="M370" s="257">
        <f t="shared" ref="M370:M378" si="43">SUM(G370+H370+I370+J370+K370+L370)+0.01</f>
        <v>127.60367499999998</v>
      </c>
    </row>
    <row r="371" spans="1:13" ht="19.5">
      <c r="A371" s="60">
        <f>A370+1</f>
        <v>303</v>
      </c>
      <c r="B371" s="163" t="s">
        <v>527</v>
      </c>
      <c r="C371" s="148" t="s">
        <v>452</v>
      </c>
      <c r="D371" s="149" t="s">
        <v>79</v>
      </c>
      <c r="E371" s="285" t="s">
        <v>715</v>
      </c>
      <c r="F371" s="267">
        <f>547+30+50+50</f>
        <v>677</v>
      </c>
      <c r="G371" s="257">
        <f t="shared" si="31"/>
        <v>101.55</v>
      </c>
      <c r="H371" s="257">
        <f t="shared" si="32"/>
        <v>7.8701249999999998</v>
      </c>
      <c r="I371" s="253"/>
      <c r="J371" s="257"/>
      <c r="K371" s="257">
        <f t="shared" si="28"/>
        <v>7.6162499999999991</v>
      </c>
      <c r="L371" s="257">
        <f t="shared" si="29"/>
        <v>1.0155000000000001</v>
      </c>
      <c r="M371" s="257">
        <f t="shared" si="43"/>
        <v>118.061875</v>
      </c>
    </row>
    <row r="372" spans="1:13" ht="19.5">
      <c r="A372" s="60">
        <f t="shared" si="26"/>
        <v>304</v>
      </c>
      <c r="B372" s="163" t="s">
        <v>527</v>
      </c>
      <c r="C372" s="148" t="s">
        <v>452</v>
      </c>
      <c r="D372" s="149" t="s">
        <v>79</v>
      </c>
      <c r="E372" s="285" t="s">
        <v>715</v>
      </c>
      <c r="F372" s="267">
        <f>547+30+50+50</f>
        <v>677</v>
      </c>
      <c r="G372" s="257">
        <f t="shared" si="31"/>
        <v>101.55</v>
      </c>
      <c r="H372" s="257">
        <f t="shared" si="32"/>
        <v>7.8701249999999998</v>
      </c>
      <c r="I372" s="253"/>
      <c r="J372" s="257"/>
      <c r="K372" s="257">
        <f t="shared" si="28"/>
        <v>7.6162499999999991</v>
      </c>
      <c r="L372" s="257">
        <f t="shared" si="29"/>
        <v>1.0155000000000001</v>
      </c>
      <c r="M372" s="257">
        <f t="shared" si="43"/>
        <v>118.061875</v>
      </c>
    </row>
    <row r="373" spans="1:13" ht="19.5">
      <c r="A373" s="60">
        <f t="shared" si="26"/>
        <v>305</v>
      </c>
      <c r="B373" s="231" t="s">
        <v>527</v>
      </c>
      <c r="C373" s="148" t="s">
        <v>452</v>
      </c>
      <c r="D373" s="149" t="s">
        <v>79</v>
      </c>
      <c r="E373" s="285" t="s">
        <v>715</v>
      </c>
      <c r="F373" s="267">
        <f>547+30+50+50</f>
        <v>677</v>
      </c>
      <c r="G373" s="257">
        <f t="shared" si="31"/>
        <v>101.55</v>
      </c>
      <c r="H373" s="257">
        <f t="shared" si="32"/>
        <v>7.8701249999999998</v>
      </c>
      <c r="I373" s="253"/>
      <c r="J373" s="257"/>
      <c r="K373" s="257">
        <f t="shared" si="28"/>
        <v>7.6162499999999991</v>
      </c>
      <c r="L373" s="257">
        <f t="shared" si="29"/>
        <v>1.0155000000000001</v>
      </c>
      <c r="M373" s="257">
        <f t="shared" si="43"/>
        <v>118.061875</v>
      </c>
    </row>
    <row r="374" spans="1:13" ht="19.5">
      <c r="A374" s="60">
        <f t="shared" si="26"/>
        <v>306</v>
      </c>
      <c r="B374" s="231" t="s">
        <v>527</v>
      </c>
      <c r="C374" s="148" t="s">
        <v>452</v>
      </c>
      <c r="D374" s="149" t="s">
        <v>79</v>
      </c>
      <c r="E374" s="285" t="s">
        <v>715</v>
      </c>
      <c r="F374" s="267">
        <f t="shared" ref="F374:F378" si="44">547+30+50+50</f>
        <v>677</v>
      </c>
      <c r="G374" s="257">
        <f t="shared" si="31"/>
        <v>101.55</v>
      </c>
      <c r="H374" s="257">
        <f t="shared" si="32"/>
        <v>7.8701249999999998</v>
      </c>
      <c r="I374" s="253"/>
      <c r="J374" s="257"/>
      <c r="K374" s="257">
        <f t="shared" si="28"/>
        <v>7.6162499999999991</v>
      </c>
      <c r="L374" s="257">
        <f t="shared" si="29"/>
        <v>1.0155000000000001</v>
      </c>
      <c r="M374" s="257">
        <f t="shared" si="43"/>
        <v>118.061875</v>
      </c>
    </row>
    <row r="375" spans="1:13" ht="19.5">
      <c r="A375" s="60">
        <f t="shared" si="26"/>
        <v>307</v>
      </c>
      <c r="B375" s="231" t="s">
        <v>527</v>
      </c>
      <c r="C375" s="148" t="s">
        <v>452</v>
      </c>
      <c r="D375" s="149" t="s">
        <v>79</v>
      </c>
      <c r="E375" s="285" t="s">
        <v>715</v>
      </c>
      <c r="F375" s="267">
        <f t="shared" si="44"/>
        <v>677</v>
      </c>
      <c r="G375" s="257">
        <f t="shared" si="31"/>
        <v>101.55</v>
      </c>
      <c r="H375" s="257">
        <f t="shared" si="32"/>
        <v>7.8701249999999998</v>
      </c>
      <c r="I375" s="253"/>
      <c r="J375" s="257"/>
      <c r="K375" s="257">
        <f t="shared" si="28"/>
        <v>7.6162499999999991</v>
      </c>
      <c r="L375" s="257">
        <f t="shared" si="29"/>
        <v>1.0155000000000001</v>
      </c>
      <c r="M375" s="257">
        <f t="shared" si="43"/>
        <v>118.061875</v>
      </c>
    </row>
    <row r="376" spans="1:13" ht="19.5">
      <c r="A376" s="60">
        <f t="shared" si="26"/>
        <v>308</v>
      </c>
      <c r="B376" s="231" t="s">
        <v>527</v>
      </c>
      <c r="C376" s="148" t="s">
        <v>452</v>
      </c>
      <c r="D376" s="149" t="s">
        <v>79</v>
      </c>
      <c r="E376" s="285" t="s">
        <v>715</v>
      </c>
      <c r="F376" s="267">
        <f t="shared" si="44"/>
        <v>677</v>
      </c>
      <c r="G376" s="257">
        <f t="shared" si="31"/>
        <v>101.55</v>
      </c>
      <c r="H376" s="257">
        <f t="shared" si="32"/>
        <v>7.8701249999999998</v>
      </c>
      <c r="I376" s="253"/>
      <c r="J376" s="257"/>
      <c r="K376" s="257">
        <f t="shared" si="28"/>
        <v>7.6162499999999991</v>
      </c>
      <c r="L376" s="257">
        <f t="shared" si="29"/>
        <v>1.0155000000000001</v>
      </c>
      <c r="M376" s="257">
        <f t="shared" si="43"/>
        <v>118.061875</v>
      </c>
    </row>
    <row r="377" spans="1:13" ht="19.5">
      <c r="A377" s="60">
        <f t="shared" si="26"/>
        <v>309</v>
      </c>
      <c r="B377" s="231" t="s">
        <v>527</v>
      </c>
      <c r="C377" s="148" t="s">
        <v>452</v>
      </c>
      <c r="D377" s="149" t="s">
        <v>79</v>
      </c>
      <c r="E377" s="285" t="s">
        <v>715</v>
      </c>
      <c r="F377" s="267">
        <f t="shared" si="44"/>
        <v>677</v>
      </c>
      <c r="G377" s="257">
        <f t="shared" si="31"/>
        <v>101.55</v>
      </c>
      <c r="H377" s="257">
        <f t="shared" si="32"/>
        <v>7.8701249999999998</v>
      </c>
      <c r="I377" s="253"/>
      <c r="J377" s="257"/>
      <c r="K377" s="257">
        <f>G377*0.075</f>
        <v>7.6162499999999991</v>
      </c>
      <c r="L377" s="257">
        <f>G377*0.01</f>
        <v>1.0155000000000001</v>
      </c>
      <c r="M377" s="257">
        <f t="shared" si="43"/>
        <v>118.061875</v>
      </c>
    </row>
    <row r="378" spans="1:13" ht="19.5">
      <c r="A378" s="60">
        <f t="shared" si="26"/>
        <v>310</v>
      </c>
      <c r="B378" s="163" t="s">
        <v>527</v>
      </c>
      <c r="C378" s="148" t="s">
        <v>452</v>
      </c>
      <c r="D378" s="149" t="s">
        <v>79</v>
      </c>
      <c r="E378" s="285" t="s">
        <v>715</v>
      </c>
      <c r="F378" s="267">
        <f t="shared" si="44"/>
        <v>677</v>
      </c>
      <c r="G378" s="257">
        <f>F378/2*0.3</f>
        <v>101.55</v>
      </c>
      <c r="H378" s="257">
        <f t="shared" si="32"/>
        <v>7.8701249999999998</v>
      </c>
      <c r="I378" s="254"/>
      <c r="J378" s="255"/>
      <c r="K378" s="257">
        <f>G378*0.075</f>
        <v>7.6162499999999991</v>
      </c>
      <c r="L378" s="257">
        <f>G378*0.01</f>
        <v>1.0155000000000001</v>
      </c>
      <c r="M378" s="257">
        <f t="shared" si="43"/>
        <v>118.061875</v>
      </c>
    </row>
    <row r="379" spans="1:13" ht="19.5">
      <c r="A379" s="60">
        <f>A378+1</f>
        <v>311</v>
      </c>
      <c r="B379" s="231" t="s">
        <v>536</v>
      </c>
      <c r="C379" s="148" t="s">
        <v>452</v>
      </c>
      <c r="D379" s="149" t="s">
        <v>79</v>
      </c>
      <c r="E379" s="285" t="s">
        <v>715</v>
      </c>
      <c r="F379" s="267">
        <f>467+30+50+50</f>
        <v>597</v>
      </c>
      <c r="G379" s="256">
        <f t="shared" si="31"/>
        <v>89.55</v>
      </c>
      <c r="H379" s="257">
        <f t="shared" si="32"/>
        <v>6.9401250000000001</v>
      </c>
      <c r="I379" s="10"/>
      <c r="J379" s="256"/>
      <c r="K379" s="256">
        <f>G379*0.075</f>
        <v>6.7162499999999996</v>
      </c>
      <c r="L379" s="256">
        <f>G379*0.01</f>
        <v>0.89549999999999996</v>
      </c>
      <c r="M379" s="257">
        <f t="shared" ref="M379:M389" si="45">SUM(G379:L379)+0.01</f>
        <v>104.111875</v>
      </c>
    </row>
    <row r="380" spans="1:13" ht="19.5">
      <c r="A380" s="60">
        <f>A379+1</f>
        <v>312</v>
      </c>
      <c r="B380" s="231" t="s">
        <v>536</v>
      </c>
      <c r="C380" s="148" t="s">
        <v>452</v>
      </c>
      <c r="D380" s="149" t="s">
        <v>79</v>
      </c>
      <c r="E380" s="285" t="s">
        <v>715</v>
      </c>
      <c r="F380" s="267">
        <f>467+30+50+50</f>
        <v>597</v>
      </c>
      <c r="G380" s="257">
        <f t="shared" si="31"/>
        <v>89.55</v>
      </c>
      <c r="H380" s="257">
        <f t="shared" si="32"/>
        <v>6.9401250000000001</v>
      </c>
      <c r="I380" s="253"/>
      <c r="J380" s="257"/>
      <c r="K380" s="257">
        <f>G380*0.075</f>
        <v>6.7162499999999996</v>
      </c>
      <c r="L380" s="257">
        <f>G380*0.01</f>
        <v>0.89549999999999996</v>
      </c>
      <c r="M380" s="257">
        <f t="shared" si="45"/>
        <v>104.111875</v>
      </c>
    </row>
    <row r="381" spans="1:13" ht="19.5">
      <c r="A381" s="60">
        <f t="shared" si="26"/>
        <v>313</v>
      </c>
      <c r="B381" s="231" t="s">
        <v>536</v>
      </c>
      <c r="C381" s="148" t="s">
        <v>452</v>
      </c>
      <c r="D381" s="149" t="s">
        <v>79</v>
      </c>
      <c r="E381" s="285" t="s">
        <v>715</v>
      </c>
      <c r="F381" s="267">
        <f>467+30+50+50</f>
        <v>597</v>
      </c>
      <c r="G381" s="257">
        <f t="shared" si="31"/>
        <v>89.55</v>
      </c>
      <c r="H381" s="257">
        <f t="shared" si="32"/>
        <v>6.9401250000000001</v>
      </c>
      <c r="I381" s="257"/>
      <c r="J381" s="257"/>
      <c r="K381" s="257">
        <f>G381*0.075</f>
        <v>6.7162499999999996</v>
      </c>
      <c r="L381" s="257">
        <f>G381*0.01</f>
        <v>0.89549999999999996</v>
      </c>
      <c r="M381" s="257">
        <f t="shared" si="45"/>
        <v>104.111875</v>
      </c>
    </row>
    <row r="382" spans="1:13" ht="19.5">
      <c r="A382" s="60">
        <f t="shared" ref="A382:A389" si="46">A381+1</f>
        <v>314</v>
      </c>
      <c r="B382" s="163" t="s">
        <v>542</v>
      </c>
      <c r="C382" s="148" t="s">
        <v>452</v>
      </c>
      <c r="D382" s="149" t="s">
        <v>79</v>
      </c>
      <c r="E382" s="285" t="s">
        <v>715</v>
      </c>
      <c r="F382" s="267">
        <f>417+50+50</f>
        <v>517</v>
      </c>
      <c r="G382" s="256">
        <f t="shared" si="31"/>
        <v>77.55</v>
      </c>
      <c r="H382" s="257">
        <f t="shared" si="32"/>
        <v>6.0101249999999995</v>
      </c>
      <c r="I382" s="10"/>
      <c r="J382" s="256"/>
      <c r="K382" s="256">
        <f t="shared" si="28"/>
        <v>5.8162499999999993</v>
      </c>
      <c r="L382" s="256">
        <f t="shared" si="29"/>
        <v>0.77549999999999997</v>
      </c>
      <c r="M382" s="257">
        <f t="shared" si="45"/>
        <v>90.161874999999995</v>
      </c>
    </row>
    <row r="383" spans="1:13" ht="19.5">
      <c r="A383" s="60">
        <f t="shared" si="46"/>
        <v>315</v>
      </c>
      <c r="B383" s="163" t="s">
        <v>542</v>
      </c>
      <c r="C383" s="148" t="s">
        <v>452</v>
      </c>
      <c r="D383" s="149" t="s">
        <v>79</v>
      </c>
      <c r="E383" s="285" t="s">
        <v>715</v>
      </c>
      <c r="F383" s="267">
        <f>417+50+50</f>
        <v>517</v>
      </c>
      <c r="G383" s="257">
        <f t="shared" si="31"/>
        <v>77.55</v>
      </c>
      <c r="H383" s="257">
        <f t="shared" si="32"/>
        <v>6.0101249999999995</v>
      </c>
      <c r="I383" s="253"/>
      <c r="J383" s="257"/>
      <c r="K383" s="257">
        <f t="shared" ref="K383:K393" si="47">G383*0.075</f>
        <v>5.8162499999999993</v>
      </c>
      <c r="L383" s="257">
        <f t="shared" ref="L383:L393" si="48">G383*0.01</f>
        <v>0.77549999999999997</v>
      </c>
      <c r="M383" s="257">
        <f t="shared" si="45"/>
        <v>90.161874999999995</v>
      </c>
    </row>
    <row r="384" spans="1:13" ht="19.5">
      <c r="A384" s="60">
        <f t="shared" si="46"/>
        <v>316</v>
      </c>
      <c r="B384" s="163" t="s">
        <v>542</v>
      </c>
      <c r="C384" s="148" t="s">
        <v>452</v>
      </c>
      <c r="D384" s="149" t="s">
        <v>79</v>
      </c>
      <c r="E384" s="285" t="s">
        <v>715</v>
      </c>
      <c r="F384" s="267">
        <f>417+50+50</f>
        <v>517</v>
      </c>
      <c r="G384" s="257">
        <f t="shared" si="31"/>
        <v>77.55</v>
      </c>
      <c r="H384" s="257">
        <f t="shared" si="32"/>
        <v>6.0101249999999995</v>
      </c>
      <c r="I384" s="253"/>
      <c r="J384" s="257"/>
      <c r="K384" s="257">
        <f t="shared" si="47"/>
        <v>5.8162499999999993</v>
      </c>
      <c r="L384" s="257">
        <f t="shared" si="48"/>
        <v>0.77549999999999997</v>
      </c>
      <c r="M384" s="257">
        <f t="shared" si="45"/>
        <v>90.161874999999995</v>
      </c>
    </row>
    <row r="385" spans="1:13" ht="19.5">
      <c r="A385" s="60">
        <f t="shared" si="46"/>
        <v>317</v>
      </c>
      <c r="B385" s="164" t="s">
        <v>547</v>
      </c>
      <c r="C385" s="151" t="s">
        <v>452</v>
      </c>
      <c r="D385" s="152" t="s">
        <v>759</v>
      </c>
      <c r="E385" s="284" t="s">
        <v>715</v>
      </c>
      <c r="F385" s="270">
        <v>417</v>
      </c>
      <c r="G385" s="257">
        <f>F385/2*0.3</f>
        <v>62.55</v>
      </c>
      <c r="H385" s="257">
        <f t="shared" ref="H385:H386" si="49">G385*7.75%</f>
        <v>4.8476249999999999</v>
      </c>
      <c r="I385" s="253"/>
      <c r="J385" s="257"/>
      <c r="K385" s="257">
        <f t="shared" ref="K385:K386" si="50">G385*0.075</f>
        <v>4.6912499999999993</v>
      </c>
      <c r="L385" s="257">
        <f t="shared" ref="L385:L386" si="51">G385*0.01</f>
        <v>0.62549999999999994</v>
      </c>
      <c r="M385" s="257">
        <f t="shared" si="45"/>
        <v>72.724374999999995</v>
      </c>
    </row>
    <row r="386" spans="1:13" ht="19.5">
      <c r="A386" s="60">
        <f>A385+1</f>
        <v>318</v>
      </c>
      <c r="B386" s="164" t="s">
        <v>547</v>
      </c>
      <c r="C386" s="151" t="s">
        <v>452</v>
      </c>
      <c r="D386" s="152" t="s">
        <v>759</v>
      </c>
      <c r="E386" s="284" t="s">
        <v>715</v>
      </c>
      <c r="F386" s="270">
        <f>417</f>
        <v>417</v>
      </c>
      <c r="G386" s="257">
        <f>F386/2*0.3</f>
        <v>62.55</v>
      </c>
      <c r="H386" s="257">
        <f t="shared" si="49"/>
        <v>4.8476249999999999</v>
      </c>
      <c r="I386" s="253"/>
      <c r="J386" s="257"/>
      <c r="K386" s="257">
        <f t="shared" si="50"/>
        <v>4.6912499999999993</v>
      </c>
      <c r="L386" s="257">
        <f t="shared" si="51"/>
        <v>0.62549999999999994</v>
      </c>
      <c r="M386" s="257">
        <f t="shared" si="45"/>
        <v>72.724374999999995</v>
      </c>
    </row>
    <row r="387" spans="1:13" ht="19.5">
      <c r="A387" s="60">
        <f>A386+1</f>
        <v>319</v>
      </c>
      <c r="B387" s="164" t="s">
        <v>547</v>
      </c>
      <c r="C387" s="151" t="s">
        <v>452</v>
      </c>
      <c r="D387" s="152" t="s">
        <v>759</v>
      </c>
      <c r="E387" s="284" t="s">
        <v>715</v>
      </c>
      <c r="F387" s="270">
        <v>417</v>
      </c>
      <c r="G387" s="257">
        <f>F387/2*0.3</f>
        <v>62.55</v>
      </c>
      <c r="H387" s="257">
        <f>G387*7.75%</f>
        <v>4.8476249999999999</v>
      </c>
      <c r="I387" s="253"/>
      <c r="J387" s="257"/>
      <c r="K387" s="257">
        <f>G387*0.075</f>
        <v>4.6912499999999993</v>
      </c>
      <c r="L387" s="257">
        <f>G387*0.01</f>
        <v>0.62549999999999994</v>
      </c>
      <c r="M387" s="257">
        <f t="shared" si="45"/>
        <v>72.724374999999995</v>
      </c>
    </row>
    <row r="388" spans="1:13" ht="19.5">
      <c r="A388" s="60">
        <f>A387+1</f>
        <v>320</v>
      </c>
      <c r="B388" s="164" t="s">
        <v>547</v>
      </c>
      <c r="C388" s="151" t="s">
        <v>452</v>
      </c>
      <c r="D388" s="152" t="s">
        <v>759</v>
      </c>
      <c r="E388" s="284" t="s">
        <v>715</v>
      </c>
      <c r="F388" s="270">
        <v>417</v>
      </c>
      <c r="G388" s="257">
        <f t="shared" si="31"/>
        <v>62.55</v>
      </c>
      <c r="H388" s="257">
        <f t="shared" si="32"/>
        <v>4.8476249999999999</v>
      </c>
      <c r="I388" s="253"/>
      <c r="J388" s="257"/>
      <c r="K388" s="257">
        <f t="shared" si="47"/>
        <v>4.6912499999999993</v>
      </c>
      <c r="L388" s="257">
        <f t="shared" si="48"/>
        <v>0.62549999999999994</v>
      </c>
      <c r="M388" s="257">
        <f t="shared" si="45"/>
        <v>72.724374999999995</v>
      </c>
    </row>
    <row r="389" spans="1:13" ht="19.5">
      <c r="A389" s="60">
        <f t="shared" si="46"/>
        <v>321</v>
      </c>
      <c r="B389" s="164" t="s">
        <v>547</v>
      </c>
      <c r="C389" s="151" t="s">
        <v>452</v>
      </c>
      <c r="D389" s="152" t="s">
        <v>759</v>
      </c>
      <c r="E389" s="284" t="s">
        <v>715</v>
      </c>
      <c r="F389" s="270">
        <v>417</v>
      </c>
      <c r="G389" s="257">
        <f>F389/2*0.3</f>
        <v>62.55</v>
      </c>
      <c r="H389" s="257">
        <f t="shared" si="32"/>
        <v>4.8476249999999999</v>
      </c>
      <c r="I389" s="253"/>
      <c r="J389" s="257"/>
      <c r="K389" s="257">
        <f t="shared" si="47"/>
        <v>4.6912499999999993</v>
      </c>
      <c r="L389" s="257">
        <f t="shared" si="48"/>
        <v>0.62549999999999994</v>
      </c>
      <c r="M389" s="257">
        <f t="shared" si="45"/>
        <v>72.724374999999995</v>
      </c>
    </row>
    <row r="390" spans="1:13" ht="19.5">
      <c r="A390" s="60">
        <f>A389+1</f>
        <v>322</v>
      </c>
      <c r="B390" s="163" t="s">
        <v>798</v>
      </c>
      <c r="C390" s="148" t="s">
        <v>452</v>
      </c>
      <c r="D390" s="149" t="s">
        <v>79</v>
      </c>
      <c r="E390" s="285" t="s">
        <v>715</v>
      </c>
      <c r="F390" s="267">
        <f>497+50</f>
        <v>547</v>
      </c>
      <c r="G390" s="256">
        <f t="shared" si="31"/>
        <v>82.05</v>
      </c>
      <c r="H390" s="257">
        <f>G390*7.75%</f>
        <v>6.3588749999999994</v>
      </c>
      <c r="I390" s="10"/>
      <c r="J390" s="256"/>
      <c r="K390" s="256">
        <f t="shared" si="47"/>
        <v>6.1537499999999996</v>
      </c>
      <c r="L390" s="256">
        <f t="shared" si="48"/>
        <v>0.82050000000000001</v>
      </c>
      <c r="M390" s="257">
        <f>SUM(G390+H390+I390+J390+K390+L390)</f>
        <v>95.383124999999993</v>
      </c>
    </row>
    <row r="391" spans="1:13" ht="19.5">
      <c r="A391" s="60">
        <v>323</v>
      </c>
      <c r="B391" s="185" t="s">
        <v>547</v>
      </c>
      <c r="C391" s="230" t="s">
        <v>452</v>
      </c>
      <c r="D391" s="199" t="s">
        <v>760</v>
      </c>
      <c r="E391" s="289" t="s">
        <v>715</v>
      </c>
      <c r="F391" s="272">
        <f>417</f>
        <v>417</v>
      </c>
      <c r="G391" s="256">
        <f>F391/2*0.3</f>
        <v>62.55</v>
      </c>
      <c r="H391" s="257">
        <f>G391*7.75%</f>
        <v>4.8476249999999999</v>
      </c>
      <c r="I391" s="10"/>
      <c r="J391" s="256"/>
      <c r="K391" s="256">
        <f>G391*0.075</f>
        <v>4.6912499999999993</v>
      </c>
      <c r="L391" s="256">
        <f>G391*0.01</f>
        <v>0.62549999999999994</v>
      </c>
      <c r="M391" s="256">
        <f>SUM(G391+H391+I391+J391+K391+L391)+0.01</f>
        <v>72.724374999999995</v>
      </c>
    </row>
    <row r="392" spans="1:13" ht="19.5">
      <c r="A392" s="60">
        <v>324</v>
      </c>
      <c r="B392" s="163" t="s">
        <v>799</v>
      </c>
      <c r="C392" s="148" t="s">
        <v>452</v>
      </c>
      <c r="D392" s="149" t="s">
        <v>79</v>
      </c>
      <c r="E392" s="285" t="s">
        <v>715</v>
      </c>
      <c r="F392" s="267">
        <f>467+30+50+50</f>
        <v>597</v>
      </c>
      <c r="G392" s="257">
        <f t="shared" si="31"/>
        <v>89.55</v>
      </c>
      <c r="H392" s="257"/>
      <c r="I392" s="257">
        <f>G392*0.06</f>
        <v>5.3729999999999993</v>
      </c>
      <c r="J392" s="257"/>
      <c r="K392" s="257">
        <f t="shared" si="47"/>
        <v>6.7162499999999996</v>
      </c>
      <c r="L392" s="257">
        <f t="shared" si="48"/>
        <v>0.89549999999999996</v>
      </c>
      <c r="M392" s="257">
        <f>SUM(G392+H392+I392+J392+K392+L392)+0.01</f>
        <v>102.54475000000001</v>
      </c>
    </row>
    <row r="393" spans="1:13" ht="19.5">
      <c r="A393" s="60">
        <v>325</v>
      </c>
      <c r="B393" s="163" t="s">
        <v>799</v>
      </c>
      <c r="C393" s="148" t="s">
        <v>452</v>
      </c>
      <c r="D393" s="149" t="s">
        <v>79</v>
      </c>
      <c r="E393" s="285" t="s">
        <v>715</v>
      </c>
      <c r="F393" s="267">
        <f>467+30+50+50</f>
        <v>597</v>
      </c>
      <c r="G393" s="257">
        <f t="shared" si="31"/>
        <v>89.55</v>
      </c>
      <c r="H393" s="257">
        <f>G393*7.75%</f>
        <v>6.9401250000000001</v>
      </c>
      <c r="I393" s="253"/>
      <c r="J393" s="257"/>
      <c r="K393" s="257">
        <f t="shared" si="47"/>
        <v>6.7162499999999996</v>
      </c>
      <c r="L393" s="257">
        <f t="shared" si="48"/>
        <v>0.89549999999999996</v>
      </c>
      <c r="M393" s="257">
        <f>SUM(G393:L393)+0.01</f>
        <v>104.111875</v>
      </c>
    </row>
    <row r="394" spans="1:13" ht="19.5">
      <c r="A394" s="60">
        <v>326</v>
      </c>
      <c r="B394" s="164" t="s">
        <v>549</v>
      </c>
      <c r="C394" s="151" t="s">
        <v>452</v>
      </c>
      <c r="D394" s="152" t="s">
        <v>759</v>
      </c>
      <c r="E394" s="284" t="s">
        <v>715</v>
      </c>
      <c r="F394" s="270">
        <v>417</v>
      </c>
      <c r="G394" s="256">
        <f>F394/2*0.3</f>
        <v>62.55</v>
      </c>
      <c r="H394" s="257">
        <f>G394*7.75%</f>
        <v>4.8476249999999999</v>
      </c>
      <c r="I394" s="10"/>
      <c r="J394" s="256"/>
      <c r="K394" s="256">
        <f>G394*0.075</f>
        <v>4.6912499999999993</v>
      </c>
      <c r="L394" s="256">
        <f>G394*0.01</f>
        <v>0.62549999999999994</v>
      </c>
      <c r="M394" s="256">
        <f>SUM(G394+H394+I394+J394+K394+L394)+0.01</f>
        <v>72.724374999999995</v>
      </c>
    </row>
    <row r="395" spans="1:13" ht="19.5">
      <c r="A395" s="60">
        <f>A394+1</f>
        <v>327</v>
      </c>
      <c r="B395" s="232" t="s">
        <v>805</v>
      </c>
      <c r="C395" s="148" t="s">
        <v>452</v>
      </c>
      <c r="D395" s="149" t="s">
        <v>79</v>
      </c>
      <c r="E395" s="285" t="s">
        <v>715</v>
      </c>
      <c r="F395" s="267">
        <f>547+30+50+50</f>
        <v>677</v>
      </c>
      <c r="G395" s="257">
        <f>F395/2*0.3</f>
        <v>101.55</v>
      </c>
      <c r="H395" s="257">
        <f>G395*7.75%</f>
        <v>7.8701249999999998</v>
      </c>
      <c r="I395" s="253"/>
      <c r="J395" s="257"/>
      <c r="K395" s="257">
        <f>G395*0.075</f>
        <v>7.6162499999999991</v>
      </c>
      <c r="L395" s="257">
        <f>G395*0.01</f>
        <v>1.0155000000000001</v>
      </c>
      <c r="M395" s="257">
        <f>SUM(G395+H395+I395+J395+K395+L395)+0.01</f>
        <v>118.061875</v>
      </c>
    </row>
    <row r="396" spans="1:13" ht="28.5">
      <c r="A396" s="168"/>
      <c r="B396" s="228" t="s">
        <v>555</v>
      </c>
      <c r="C396" s="140"/>
      <c r="D396" s="157"/>
      <c r="E396" s="248"/>
      <c r="F396" s="34"/>
      <c r="G396" s="257"/>
      <c r="H396" s="257"/>
      <c r="I396" s="253"/>
      <c r="J396" s="257"/>
      <c r="K396" s="257"/>
      <c r="L396" s="257"/>
      <c r="M396" s="257"/>
    </row>
    <row r="397" spans="1:13" ht="19.5">
      <c r="A397" s="60">
        <f>A395+1</f>
        <v>328</v>
      </c>
      <c r="B397" s="163" t="s">
        <v>802</v>
      </c>
      <c r="C397" s="148" t="s">
        <v>452</v>
      </c>
      <c r="D397" s="149" t="s">
        <v>79</v>
      </c>
      <c r="E397" s="285" t="s">
        <v>715</v>
      </c>
      <c r="F397" s="267">
        <f>725+50</f>
        <v>775</v>
      </c>
      <c r="G397" s="257">
        <f t="shared" ref="G397:G404" si="52">F397/2*0.3</f>
        <v>116.25</v>
      </c>
      <c r="H397" s="257">
        <f>G397*7.75%</f>
        <v>9.0093750000000004</v>
      </c>
      <c r="I397" s="253"/>
      <c r="J397" s="257"/>
      <c r="K397" s="257">
        <f t="shared" ref="K397:K404" si="53">G397*0.075</f>
        <v>8.71875</v>
      </c>
      <c r="L397" s="257">
        <f t="shared" ref="L397:L404" si="54">G397*0.01</f>
        <v>1.1625000000000001</v>
      </c>
      <c r="M397" s="257">
        <f>SUM(G397+H397+I397+J397+K397+L397)</f>
        <v>135.140625</v>
      </c>
    </row>
    <row r="398" spans="1:13" ht="19.5">
      <c r="A398" s="60">
        <f t="shared" ref="A398:A403" si="55">A397+1</f>
        <v>329</v>
      </c>
      <c r="B398" s="163" t="s">
        <v>803</v>
      </c>
      <c r="C398" s="148" t="s">
        <v>452</v>
      </c>
      <c r="D398" s="149" t="s">
        <v>79</v>
      </c>
      <c r="E398" s="285" t="s">
        <v>715</v>
      </c>
      <c r="F398" s="267">
        <f>694.29+30+50+50</f>
        <v>824.29</v>
      </c>
      <c r="G398" s="257">
        <f t="shared" si="52"/>
        <v>123.64349999999999</v>
      </c>
      <c r="H398" s="257"/>
      <c r="I398" s="257">
        <f>G398*0.06</f>
        <v>7.4186099999999993</v>
      </c>
      <c r="J398" s="257"/>
      <c r="K398" s="257">
        <f t="shared" si="53"/>
        <v>9.2732624999999995</v>
      </c>
      <c r="L398" s="257">
        <f t="shared" si="54"/>
        <v>1.236435</v>
      </c>
      <c r="M398" s="257">
        <f>SUM(G398+H398+I398+J398+K398+L398)</f>
        <v>141.57180749999998</v>
      </c>
    </row>
    <row r="399" spans="1:13" ht="19.5">
      <c r="A399" s="60">
        <f t="shared" si="55"/>
        <v>330</v>
      </c>
      <c r="B399" s="163" t="s">
        <v>650</v>
      </c>
      <c r="C399" s="148" t="s">
        <v>452</v>
      </c>
      <c r="D399" s="149" t="s">
        <v>79</v>
      </c>
      <c r="E399" s="285" t="s">
        <v>715</v>
      </c>
      <c r="F399" s="267">
        <f>614.86+30+50+50</f>
        <v>744.86</v>
      </c>
      <c r="G399" s="257">
        <f t="shared" si="52"/>
        <v>111.729</v>
      </c>
      <c r="H399" s="257"/>
      <c r="I399" s="257">
        <f>G399*0.06</f>
        <v>6.7037399999999998</v>
      </c>
      <c r="J399" s="257"/>
      <c r="K399" s="257">
        <f t="shared" si="53"/>
        <v>8.3796749999999989</v>
      </c>
      <c r="L399" s="257">
        <f t="shared" si="54"/>
        <v>1.1172900000000001</v>
      </c>
      <c r="M399" s="257">
        <f>SUM(G399+H399+I399+J399+K399+L399)</f>
        <v>127.92970499999998</v>
      </c>
    </row>
    <row r="400" spans="1:13" ht="19.5">
      <c r="A400" s="60">
        <f t="shared" si="55"/>
        <v>331</v>
      </c>
      <c r="B400" s="185" t="s">
        <v>565</v>
      </c>
      <c r="C400" s="183" t="s">
        <v>452</v>
      </c>
      <c r="D400" s="184" t="s">
        <v>760</v>
      </c>
      <c r="E400" s="282" t="s">
        <v>715</v>
      </c>
      <c r="F400" s="269">
        <f>467+30+50</f>
        <v>547</v>
      </c>
      <c r="G400" s="257">
        <f t="shared" si="52"/>
        <v>82.05</v>
      </c>
      <c r="H400" s="257">
        <f>G400*7.75%</f>
        <v>6.3588749999999994</v>
      </c>
      <c r="I400" s="253"/>
      <c r="J400" s="257"/>
      <c r="K400" s="257">
        <f t="shared" si="53"/>
        <v>6.1537499999999996</v>
      </c>
      <c r="L400" s="257">
        <f t="shared" si="54"/>
        <v>0.82050000000000001</v>
      </c>
      <c r="M400" s="257">
        <f>SUM(G400:L400)</f>
        <v>95.383124999999993</v>
      </c>
    </row>
    <row r="401" spans="1:13" ht="19.5">
      <c r="A401" s="60">
        <f t="shared" si="55"/>
        <v>332</v>
      </c>
      <c r="B401" s="134" t="s">
        <v>565</v>
      </c>
      <c r="C401" s="233" t="s">
        <v>452</v>
      </c>
      <c r="D401" s="225" t="s">
        <v>79</v>
      </c>
      <c r="E401" s="293" t="s">
        <v>715</v>
      </c>
      <c r="F401" s="294">
        <f>547+50</f>
        <v>597</v>
      </c>
      <c r="G401" s="257">
        <f>F401/2*0.3</f>
        <v>89.55</v>
      </c>
      <c r="H401" s="257">
        <f>G401*7.75%</f>
        <v>6.9401250000000001</v>
      </c>
      <c r="I401" s="253"/>
      <c r="J401" s="257"/>
      <c r="K401" s="257">
        <f t="shared" si="53"/>
        <v>6.7162499999999996</v>
      </c>
      <c r="L401" s="257">
        <f t="shared" si="54"/>
        <v>0.89549999999999996</v>
      </c>
      <c r="M401" s="257">
        <f>SUM(G401:L401)+0.01</f>
        <v>104.111875</v>
      </c>
    </row>
    <row r="402" spans="1:13" ht="19.5">
      <c r="A402" s="60">
        <f t="shared" si="55"/>
        <v>333</v>
      </c>
      <c r="B402" s="163" t="s">
        <v>754</v>
      </c>
      <c r="C402" s="148" t="s">
        <v>452</v>
      </c>
      <c r="D402" s="149" t="s">
        <v>79</v>
      </c>
      <c r="E402" s="285" t="s">
        <v>715</v>
      </c>
      <c r="F402" s="267">
        <f>614.86+30+50+50</f>
        <v>744.86</v>
      </c>
      <c r="G402" s="257">
        <f t="shared" si="52"/>
        <v>111.729</v>
      </c>
      <c r="H402" s="257"/>
      <c r="I402" s="257">
        <f>G402*0.06</f>
        <v>6.7037399999999998</v>
      </c>
      <c r="J402" s="257"/>
      <c r="K402" s="257">
        <f t="shared" si="53"/>
        <v>8.3796749999999989</v>
      </c>
      <c r="L402" s="257">
        <f t="shared" si="54"/>
        <v>1.1172900000000001</v>
      </c>
      <c r="M402" s="257">
        <f>SUM(G402+H402+I402+J402+K402+L402)</f>
        <v>127.92970499999998</v>
      </c>
    </row>
    <row r="403" spans="1:13" ht="19.5">
      <c r="A403" s="60">
        <f t="shared" si="55"/>
        <v>334</v>
      </c>
      <c r="B403" s="163" t="s">
        <v>569</v>
      </c>
      <c r="C403" s="148" t="s">
        <v>452</v>
      </c>
      <c r="D403" s="149" t="s">
        <v>79</v>
      </c>
      <c r="E403" s="285" t="s">
        <v>715</v>
      </c>
      <c r="F403" s="267">
        <f>614.86+30+50+50</f>
        <v>744.86</v>
      </c>
      <c r="G403" s="257">
        <f t="shared" si="52"/>
        <v>111.729</v>
      </c>
      <c r="H403" s="257"/>
      <c r="I403" s="257">
        <f>G403*0.06</f>
        <v>6.7037399999999998</v>
      </c>
      <c r="J403" s="257"/>
      <c r="K403" s="257">
        <f t="shared" si="53"/>
        <v>8.3796749999999989</v>
      </c>
      <c r="L403" s="257">
        <f t="shared" si="54"/>
        <v>1.1172900000000001</v>
      </c>
      <c r="M403" s="257">
        <f>SUM(G403+H403+I403+J403+K403+L403)</f>
        <v>127.92970499999998</v>
      </c>
    </row>
    <row r="404" spans="1:13" ht="19.5">
      <c r="A404" s="60">
        <f>A403+1</f>
        <v>335</v>
      </c>
      <c r="B404" s="234" t="s">
        <v>755</v>
      </c>
      <c r="C404" s="230" t="s">
        <v>452</v>
      </c>
      <c r="D404" s="199" t="s">
        <v>760</v>
      </c>
      <c r="E404" s="289" t="s">
        <v>715</v>
      </c>
      <c r="F404" s="272">
        <v>467</v>
      </c>
      <c r="G404" s="257">
        <f t="shared" si="52"/>
        <v>70.05</v>
      </c>
      <c r="H404" s="257">
        <f>G404*7.75%</f>
        <v>5.4288749999999997</v>
      </c>
      <c r="I404" s="253"/>
      <c r="J404" s="257"/>
      <c r="K404" s="257">
        <f t="shared" si="53"/>
        <v>5.2537499999999993</v>
      </c>
      <c r="L404" s="257">
        <f t="shared" si="54"/>
        <v>0.70050000000000001</v>
      </c>
      <c r="M404" s="257">
        <f>SUM(G404+H404+I404+J404+K404+L404)</f>
        <v>81.433125000000004</v>
      </c>
    </row>
    <row r="405" spans="1:13" ht="19.5">
      <c r="A405" s="168"/>
      <c r="B405" s="228" t="s">
        <v>651</v>
      </c>
      <c r="C405" s="140"/>
      <c r="D405" s="157"/>
      <c r="E405" s="248"/>
      <c r="F405" s="34"/>
      <c r="G405" s="257"/>
      <c r="H405" s="257"/>
      <c r="I405" s="253"/>
      <c r="J405" s="257"/>
      <c r="K405" s="257"/>
      <c r="L405" s="257"/>
      <c r="M405" s="257"/>
    </row>
    <row r="406" spans="1:13" ht="19.5">
      <c r="A406" s="60">
        <f>A404+1</f>
        <v>336</v>
      </c>
      <c r="B406" s="235" t="s">
        <v>716</v>
      </c>
      <c r="C406" s="148" t="s">
        <v>452</v>
      </c>
      <c r="D406" s="149" t="s">
        <v>79</v>
      </c>
      <c r="E406" s="285" t="s">
        <v>715</v>
      </c>
      <c r="F406" s="267">
        <v>700</v>
      </c>
      <c r="G406" s="257">
        <f>F406/2*0.3</f>
        <v>105</v>
      </c>
      <c r="H406" s="257">
        <f>G406*7.75%</f>
        <v>8.1374999999999993</v>
      </c>
      <c r="I406" s="253"/>
      <c r="J406" s="257"/>
      <c r="K406" s="257">
        <f>G406*0.075</f>
        <v>7.875</v>
      </c>
      <c r="L406" s="257">
        <f>G406*0.01</f>
        <v>1.05</v>
      </c>
      <c r="M406" s="257">
        <f>SUM(G406:L406)+0.01</f>
        <v>122.07250000000001</v>
      </c>
    </row>
    <row r="407" spans="1:13" ht="19.5">
      <c r="A407" s="60">
        <f>A406+1</f>
        <v>337</v>
      </c>
      <c r="B407" s="163" t="s">
        <v>110</v>
      </c>
      <c r="C407" s="148" t="s">
        <v>452</v>
      </c>
      <c r="D407" s="149" t="s">
        <v>79</v>
      </c>
      <c r="E407" s="285" t="s">
        <v>715</v>
      </c>
      <c r="F407" s="267">
        <v>820</v>
      </c>
      <c r="G407" s="257">
        <f>F407/2*0.3</f>
        <v>123</v>
      </c>
      <c r="H407" s="257">
        <f>G407*7.75%</f>
        <v>9.5325000000000006</v>
      </c>
      <c r="I407" s="257"/>
      <c r="J407" s="257"/>
      <c r="K407" s="257">
        <f>G407*0.075</f>
        <v>9.2249999999999996</v>
      </c>
      <c r="L407" s="257">
        <f>G407*0.01</f>
        <v>1.23</v>
      </c>
      <c r="M407" s="257">
        <f>SUM(G407+H407+I407+J407+K407+L407)</f>
        <v>142.98749999999998</v>
      </c>
    </row>
    <row r="408" spans="1:13" ht="19.5">
      <c r="A408" s="60">
        <f>A407+1</f>
        <v>338</v>
      </c>
      <c r="B408" s="163" t="s">
        <v>574</v>
      </c>
      <c r="C408" s="148" t="s">
        <v>452</v>
      </c>
      <c r="D408" s="149" t="s">
        <v>79</v>
      </c>
      <c r="E408" s="285" t="s">
        <v>715</v>
      </c>
      <c r="F408" s="267">
        <f>617.72+30+50+50</f>
        <v>747.72</v>
      </c>
      <c r="G408" s="257">
        <f>F408/2*0.3</f>
        <v>112.158</v>
      </c>
      <c r="H408" s="257">
        <f>G408*7.75%</f>
        <v>8.6922449999999998</v>
      </c>
      <c r="I408" s="253"/>
      <c r="J408" s="257"/>
      <c r="K408" s="257">
        <f>G408*0.075</f>
        <v>8.4118499999999994</v>
      </c>
      <c r="L408" s="257">
        <f>G408*0.01</f>
        <v>1.12158</v>
      </c>
      <c r="M408" s="257">
        <f>SUM(G408+H408+I408+J408+K408+L408)</f>
        <v>130.38367499999998</v>
      </c>
    </row>
    <row r="409" spans="1:13" ht="19.5">
      <c r="A409" s="60">
        <f>A408+1</f>
        <v>339</v>
      </c>
      <c r="B409" s="163" t="s">
        <v>576</v>
      </c>
      <c r="C409" s="148" t="s">
        <v>452</v>
      </c>
      <c r="D409" s="149" t="s">
        <v>79</v>
      </c>
      <c r="E409" s="285" t="s">
        <v>715</v>
      </c>
      <c r="F409" s="267">
        <f>467+30+50+50</f>
        <v>597</v>
      </c>
      <c r="G409" s="257">
        <f>F409/2*0.3</f>
        <v>89.55</v>
      </c>
      <c r="H409" s="257">
        <f>G409*7.75%</f>
        <v>6.9401250000000001</v>
      </c>
      <c r="I409" s="253"/>
      <c r="J409" s="257"/>
      <c r="K409" s="257">
        <f>G409*0.075</f>
        <v>6.7162499999999996</v>
      </c>
      <c r="L409" s="257">
        <f>G409*0.01</f>
        <v>0.89549999999999996</v>
      </c>
      <c r="M409" s="257">
        <f>SUM(G409:L409)+0.01</f>
        <v>104.111875</v>
      </c>
    </row>
    <row r="410" spans="1:13">
      <c r="A410" s="168"/>
      <c r="B410" s="228" t="s">
        <v>577</v>
      </c>
      <c r="C410" s="140"/>
      <c r="D410" s="157"/>
      <c r="E410" s="248"/>
      <c r="F410" s="34"/>
      <c r="G410" s="257"/>
      <c r="H410" s="257"/>
      <c r="I410" s="253"/>
      <c r="J410" s="257"/>
      <c r="K410" s="257"/>
      <c r="L410" s="257"/>
      <c r="M410" s="257"/>
    </row>
    <row r="411" spans="1:13" ht="19.5">
      <c r="A411" s="153">
        <f>A409+1</f>
        <v>340</v>
      </c>
      <c r="B411" s="163" t="s">
        <v>579</v>
      </c>
      <c r="C411" s="148" t="s">
        <v>452</v>
      </c>
      <c r="D411" s="149" t="s">
        <v>79</v>
      </c>
      <c r="E411" s="285" t="s">
        <v>715</v>
      </c>
      <c r="F411" s="267">
        <f>617.72+30+50+50</f>
        <v>747.72</v>
      </c>
      <c r="G411" s="257">
        <f>F411/2*0.3</f>
        <v>112.158</v>
      </c>
      <c r="H411" s="257">
        <f>G411*7.75%</f>
        <v>8.6922449999999998</v>
      </c>
      <c r="I411" s="253"/>
      <c r="J411" s="257"/>
      <c r="K411" s="257">
        <f>G411*0.075</f>
        <v>8.4118499999999994</v>
      </c>
      <c r="L411" s="257">
        <f>G411*0.01</f>
        <v>1.12158</v>
      </c>
      <c r="M411" s="257">
        <f>SUM(G411+H411+I411+J411+K411+L411)</f>
        <v>130.38367499999998</v>
      </c>
    </row>
    <row r="412" spans="1:13" ht="19.5">
      <c r="A412" s="60">
        <f>A411+1</f>
        <v>341</v>
      </c>
      <c r="B412" s="163" t="s">
        <v>581</v>
      </c>
      <c r="C412" s="148" t="s">
        <v>452</v>
      </c>
      <c r="D412" s="149" t="s">
        <v>79</v>
      </c>
      <c r="E412" s="285" t="s">
        <v>715</v>
      </c>
      <c r="F412" s="267">
        <v>875</v>
      </c>
      <c r="G412" s="257">
        <f>F412/2*0.3</f>
        <v>131.25</v>
      </c>
      <c r="H412" s="257">
        <f>G412*7.75%</f>
        <v>10.171875</v>
      </c>
      <c r="I412" s="253"/>
      <c r="J412" s="257"/>
      <c r="K412" s="257">
        <f>G412*0.075</f>
        <v>9.84375</v>
      </c>
      <c r="L412" s="257">
        <f>G412*0.01</f>
        <v>1.3125</v>
      </c>
      <c r="M412" s="257">
        <f>SUM(G412+H412+I412+J412+K412+L412)-0.01</f>
        <v>152.56812500000001</v>
      </c>
    </row>
    <row r="413" spans="1:13" ht="19.5">
      <c r="A413" s="168"/>
      <c r="B413" s="228" t="s">
        <v>582</v>
      </c>
      <c r="C413" s="140"/>
      <c r="D413" s="157"/>
      <c r="E413" s="248"/>
      <c r="F413" s="34"/>
      <c r="G413" s="257"/>
      <c r="H413" s="257"/>
      <c r="I413" s="253"/>
      <c r="J413" s="257"/>
      <c r="K413" s="257"/>
      <c r="L413" s="257"/>
      <c r="M413" s="257"/>
    </row>
    <row r="414" spans="1:13" ht="19.5">
      <c r="A414" s="153">
        <f>A412+1</f>
        <v>342</v>
      </c>
      <c r="B414" s="167" t="s">
        <v>652</v>
      </c>
      <c r="C414" s="148" t="s">
        <v>452</v>
      </c>
      <c r="D414" s="149" t="s">
        <v>79</v>
      </c>
      <c r="E414" s="285" t="s">
        <v>715</v>
      </c>
      <c r="F414" s="267">
        <v>700</v>
      </c>
      <c r="G414" s="257">
        <f t="shared" ref="G414:G419" si="56">F414/2*0.3</f>
        <v>105</v>
      </c>
      <c r="H414" s="257">
        <f t="shared" ref="H414:H419" si="57">G414*7.75%</f>
        <v>8.1374999999999993</v>
      </c>
      <c r="I414" s="253"/>
      <c r="J414" s="257"/>
      <c r="K414" s="257">
        <f t="shared" ref="K414:K419" si="58">G414*0.075</f>
        <v>7.875</v>
      </c>
      <c r="L414" s="257">
        <f t="shared" ref="L414:L419" si="59">G414*0.01</f>
        <v>1.05</v>
      </c>
      <c r="M414" s="257">
        <f>SUM(G414+H414+I414+J414+K414+L414)+0.01</f>
        <v>122.07250000000001</v>
      </c>
    </row>
    <row r="415" spans="1:13" ht="19.5">
      <c r="A415" s="60">
        <f>A414+1</f>
        <v>343</v>
      </c>
      <c r="B415" s="167" t="s">
        <v>700</v>
      </c>
      <c r="C415" s="148" t="s">
        <v>452</v>
      </c>
      <c r="D415" s="149" t="s">
        <v>79</v>
      </c>
      <c r="E415" s="285" t="s">
        <v>715</v>
      </c>
      <c r="F415" s="267">
        <f>417+50+50</f>
        <v>517</v>
      </c>
      <c r="G415" s="257">
        <f t="shared" si="56"/>
        <v>77.55</v>
      </c>
      <c r="H415" s="257">
        <f t="shared" si="57"/>
        <v>6.0101249999999995</v>
      </c>
      <c r="I415" s="253"/>
      <c r="J415" s="257"/>
      <c r="K415" s="257">
        <f t="shared" si="58"/>
        <v>5.8162499999999993</v>
      </c>
      <c r="L415" s="257">
        <f t="shared" si="59"/>
        <v>0.77549999999999997</v>
      </c>
      <c r="M415" s="257">
        <f>SUM(G415+H415+I415+J415+K415+L415)+0.01</f>
        <v>90.161874999999995</v>
      </c>
    </row>
    <row r="416" spans="1:13" ht="19.5">
      <c r="A416" s="153">
        <f>A415+1</f>
        <v>344</v>
      </c>
      <c r="B416" s="167" t="s">
        <v>588</v>
      </c>
      <c r="C416" s="148" t="s">
        <v>452</v>
      </c>
      <c r="D416" s="149" t="s">
        <v>79</v>
      </c>
      <c r="E416" s="285" t="s">
        <v>715</v>
      </c>
      <c r="F416" s="267">
        <f>554+30+50+50</f>
        <v>684</v>
      </c>
      <c r="G416" s="257">
        <f t="shared" si="56"/>
        <v>102.6</v>
      </c>
      <c r="H416" s="257">
        <f t="shared" si="57"/>
        <v>7.9514999999999993</v>
      </c>
      <c r="I416" s="10"/>
      <c r="J416" s="256"/>
      <c r="K416" s="256">
        <f t="shared" si="58"/>
        <v>7.6949999999999994</v>
      </c>
      <c r="L416" s="256">
        <f t="shared" si="59"/>
        <v>1.026</v>
      </c>
      <c r="M416" s="256">
        <f>SUM(G416+H416+I416+J416+K416+L416)+0.01</f>
        <v>119.28249999999998</v>
      </c>
    </row>
    <row r="417" spans="1:13" ht="19.5">
      <c r="A417" s="60">
        <f>A416+1</f>
        <v>345</v>
      </c>
      <c r="B417" s="167" t="s">
        <v>653</v>
      </c>
      <c r="C417" s="148" t="s">
        <v>452</v>
      </c>
      <c r="D417" s="149" t="s">
        <v>79</v>
      </c>
      <c r="E417" s="285" t="s">
        <v>715</v>
      </c>
      <c r="F417" s="267">
        <v>500</v>
      </c>
      <c r="G417" s="257">
        <f t="shared" si="56"/>
        <v>75</v>
      </c>
      <c r="H417" s="257">
        <f t="shared" si="57"/>
        <v>5.8125</v>
      </c>
      <c r="I417" s="253"/>
      <c r="J417" s="257"/>
      <c r="K417" s="257">
        <f t="shared" si="58"/>
        <v>5.625</v>
      </c>
      <c r="L417" s="257">
        <f t="shared" si="59"/>
        <v>0.75</v>
      </c>
      <c r="M417" s="257">
        <f>SUM(G417:L417)</f>
        <v>87.1875</v>
      </c>
    </row>
    <row r="418" spans="1:13" ht="19.5">
      <c r="A418" s="60">
        <f>A417+1</f>
        <v>346</v>
      </c>
      <c r="B418" s="236" t="s">
        <v>701</v>
      </c>
      <c r="C418" s="148" t="s">
        <v>452</v>
      </c>
      <c r="D418" s="149" t="s">
        <v>79</v>
      </c>
      <c r="E418" s="285" t="s">
        <v>715</v>
      </c>
      <c r="F418" s="267">
        <f>467+30+50+50</f>
        <v>597</v>
      </c>
      <c r="G418" s="257">
        <f t="shared" si="56"/>
        <v>89.55</v>
      </c>
      <c r="H418" s="257">
        <f t="shared" si="57"/>
        <v>6.9401250000000001</v>
      </c>
      <c r="I418" s="253"/>
      <c r="J418" s="257"/>
      <c r="K418" s="257">
        <f t="shared" si="58"/>
        <v>6.7162499999999996</v>
      </c>
      <c r="L418" s="257">
        <f t="shared" si="59"/>
        <v>0.89549999999999996</v>
      </c>
      <c r="M418" s="257">
        <f>SUM(G418:L418)+0.01</f>
        <v>104.111875</v>
      </c>
    </row>
    <row r="419" spans="1:13" ht="19.5">
      <c r="A419" s="60">
        <f>A418+1</f>
        <v>347</v>
      </c>
      <c r="B419" s="237" t="s">
        <v>743</v>
      </c>
      <c r="C419" s="183" t="s">
        <v>452</v>
      </c>
      <c r="D419" s="184" t="s">
        <v>760</v>
      </c>
      <c r="E419" s="282" t="s">
        <v>715</v>
      </c>
      <c r="F419" s="269">
        <v>417</v>
      </c>
      <c r="G419" s="257">
        <f t="shared" si="56"/>
        <v>62.55</v>
      </c>
      <c r="H419" s="257">
        <f t="shared" si="57"/>
        <v>4.8476249999999999</v>
      </c>
      <c r="I419" s="253"/>
      <c r="J419" s="257"/>
      <c r="K419" s="257">
        <f t="shared" si="58"/>
        <v>4.6912499999999993</v>
      </c>
      <c r="L419" s="257">
        <f t="shared" si="59"/>
        <v>0.62549999999999994</v>
      </c>
      <c r="M419" s="256">
        <f>SUM(G419+H419+I419+J419+K419+L419)+0.01</f>
        <v>72.724374999999995</v>
      </c>
    </row>
    <row r="420" spans="1:13">
      <c r="A420" s="168"/>
      <c r="B420" s="238"/>
      <c r="C420" s="239"/>
      <c r="D420" s="226"/>
      <c r="E420" s="295"/>
      <c r="F420" s="302">
        <f>SUM(F311:F419)</f>
        <v>62484.500000000007</v>
      </c>
      <c r="G420" s="302">
        <f>SUM(G311:G419)</f>
        <v>9220.1250000000073</v>
      </c>
      <c r="H420" s="302">
        <f>SUM(H311:H419)+0.06</f>
        <v>672.12019874999976</v>
      </c>
      <c r="I420" s="302">
        <f>SUM(I311:I419)-0.01</f>
        <v>32.892829999999996</v>
      </c>
      <c r="J420" s="302">
        <f>SUM(J311:J419)</f>
        <v>0</v>
      </c>
      <c r="K420" s="302">
        <f>SUM(K311:K419)+0.13</f>
        <v>691.6393750000002</v>
      </c>
      <c r="L420" s="302">
        <f>SUM(L311:L419)+0.31</f>
        <v>92.511250000000004</v>
      </c>
      <c r="M420" s="302">
        <f>SUM(M311:M419)-0.24</f>
        <v>10709.288653749994</v>
      </c>
    </row>
    <row r="421" spans="1:13" ht="19.5">
      <c r="A421" s="186">
        <f>A419+1</f>
        <v>348</v>
      </c>
      <c r="B421" s="163" t="s">
        <v>771</v>
      </c>
      <c r="C421" s="148" t="s">
        <v>594</v>
      </c>
      <c r="D421" s="149" t="s">
        <v>79</v>
      </c>
      <c r="E421" s="285" t="s">
        <v>715</v>
      </c>
      <c r="F421" s="267">
        <v>1000</v>
      </c>
      <c r="G421" s="257">
        <f>F421/2*0.3</f>
        <v>150</v>
      </c>
      <c r="H421" s="257">
        <f>G421*7.75%</f>
        <v>11.625</v>
      </c>
      <c r="I421" s="253"/>
      <c r="J421" s="257"/>
      <c r="K421" s="257">
        <f>G421*0.075</f>
        <v>11.25</v>
      </c>
      <c r="L421" s="257">
        <f>G421*0.01</f>
        <v>1.5</v>
      </c>
      <c r="M421" s="257">
        <f>SUM(G421+H421+I421+J421+K421+L421)</f>
        <v>174.375</v>
      </c>
    </row>
    <row r="422" spans="1:13" ht="19.5">
      <c r="A422" s="60">
        <f>A421+1</f>
        <v>349</v>
      </c>
      <c r="B422" s="163" t="s">
        <v>326</v>
      </c>
      <c r="C422" s="148" t="s">
        <v>594</v>
      </c>
      <c r="D422" s="149" t="s">
        <v>79</v>
      </c>
      <c r="E422" s="285" t="s">
        <v>715</v>
      </c>
      <c r="F422" s="267">
        <f>700+50</f>
        <v>750</v>
      </c>
      <c r="G422" s="257">
        <f>F422/2*0.3</f>
        <v>112.5</v>
      </c>
      <c r="H422" s="257">
        <f>G422*7.75%</f>
        <v>8.71875</v>
      </c>
      <c r="I422" s="253"/>
      <c r="J422" s="257"/>
      <c r="K422" s="257">
        <f>G422*0.075</f>
        <v>8.4375</v>
      </c>
      <c r="L422" s="257">
        <f>G422*0.01</f>
        <v>1.125</v>
      </c>
      <c r="M422" s="257">
        <f>SUM(G422+H422+I422+J422+K422+L422)+0.01</f>
        <v>130.79124999999999</v>
      </c>
    </row>
    <row r="423" spans="1:13" ht="19.5">
      <c r="A423" s="60">
        <f t="shared" ref="A423:A438" si="60">A422+1</f>
        <v>350</v>
      </c>
      <c r="B423" s="163" t="s">
        <v>110</v>
      </c>
      <c r="C423" s="148" t="s">
        <v>594</v>
      </c>
      <c r="D423" s="149" t="s">
        <v>79</v>
      </c>
      <c r="E423" s="285" t="s">
        <v>715</v>
      </c>
      <c r="F423" s="267">
        <f>554+30+50+50</f>
        <v>684</v>
      </c>
      <c r="G423" s="257">
        <f>F423/2*0.3</f>
        <v>102.6</v>
      </c>
      <c r="H423" s="257">
        <f>G423*7.75%</f>
        <v>7.9514999999999993</v>
      </c>
      <c r="I423" s="253"/>
      <c r="J423" s="257"/>
      <c r="K423" s="257">
        <f>G423*0.075</f>
        <v>7.6949999999999994</v>
      </c>
      <c r="L423" s="257">
        <f>G423*0.01</f>
        <v>1.026</v>
      </c>
      <c r="M423" s="257">
        <f>SUM(G423+H423+I423+J423+K423+L423)+0.01</f>
        <v>119.28249999999998</v>
      </c>
    </row>
    <row r="424" spans="1:13" ht="19.5">
      <c r="A424" s="60">
        <f t="shared" si="60"/>
        <v>351</v>
      </c>
      <c r="B424" s="164" t="s">
        <v>744</v>
      </c>
      <c r="C424" s="151" t="s">
        <v>594</v>
      </c>
      <c r="D424" s="152" t="s">
        <v>759</v>
      </c>
      <c r="E424" s="284" t="s">
        <v>715</v>
      </c>
      <c r="F424" s="270">
        <v>550</v>
      </c>
      <c r="G424" s="257">
        <f>F424/2*0.3</f>
        <v>82.5</v>
      </c>
      <c r="H424" s="257">
        <f>G424*7.75%</f>
        <v>6.3937499999999998</v>
      </c>
      <c r="I424" s="253"/>
      <c r="J424" s="257"/>
      <c r="K424" s="257">
        <f>G424*0.075</f>
        <v>6.1875</v>
      </c>
      <c r="L424" s="257">
        <f>G424*0.01</f>
        <v>0.82500000000000007</v>
      </c>
      <c r="M424" s="257">
        <f>SUM(G424+H424+I424+J424+K424+L424)</f>
        <v>95.90625</v>
      </c>
    </row>
    <row r="425" spans="1:13" ht="19.5">
      <c r="A425" s="60">
        <f t="shared" si="60"/>
        <v>352</v>
      </c>
      <c r="B425" s="163" t="s">
        <v>143</v>
      </c>
      <c r="C425" s="148" t="s">
        <v>594</v>
      </c>
      <c r="D425" s="149" t="s">
        <v>79</v>
      </c>
      <c r="E425" s="285" t="s">
        <v>715</v>
      </c>
      <c r="F425" s="267">
        <f>647+50</f>
        <v>697</v>
      </c>
      <c r="G425" s="255"/>
      <c r="H425" s="255"/>
      <c r="I425" s="254"/>
      <c r="J425" s="255"/>
      <c r="K425" s="255"/>
      <c r="L425" s="255"/>
      <c r="M425" s="255"/>
    </row>
    <row r="426" spans="1:13" ht="19.5">
      <c r="A426" s="60">
        <f t="shared" si="60"/>
        <v>353</v>
      </c>
      <c r="B426" s="163" t="s">
        <v>697</v>
      </c>
      <c r="C426" s="148" t="s">
        <v>594</v>
      </c>
      <c r="D426" s="149" t="s">
        <v>79</v>
      </c>
      <c r="E426" s="285" t="s">
        <v>715</v>
      </c>
      <c r="F426" s="267">
        <f>467+30+50+50</f>
        <v>597</v>
      </c>
      <c r="G426" s="242"/>
      <c r="H426" s="242"/>
      <c r="I426" s="8"/>
      <c r="J426" s="242"/>
      <c r="K426" s="242"/>
      <c r="L426" s="242"/>
      <c r="M426" s="242"/>
    </row>
    <row r="427" spans="1:13" ht="19.5">
      <c r="A427" s="60">
        <v>354</v>
      </c>
      <c r="B427" s="163" t="s">
        <v>600</v>
      </c>
      <c r="C427" s="148" t="s">
        <v>594</v>
      </c>
      <c r="D427" s="149" t="s">
        <v>79</v>
      </c>
      <c r="E427" s="285" t="s">
        <v>715</v>
      </c>
      <c r="F427" s="267">
        <f>612+30+50+50</f>
        <v>742</v>
      </c>
      <c r="G427" s="257">
        <f t="shared" ref="G427" si="61">F427/2*0.3</f>
        <v>111.3</v>
      </c>
      <c r="H427" s="257">
        <f>G427*7.75%</f>
        <v>8.62575</v>
      </c>
      <c r="I427" s="253"/>
      <c r="J427" s="257"/>
      <c r="K427" s="257">
        <f>G427*0.075</f>
        <v>8.3475000000000001</v>
      </c>
      <c r="L427" s="257">
        <f>G427*0.01</f>
        <v>1.113</v>
      </c>
      <c r="M427" s="257">
        <f>SUM(G427+H427+I427+J427+K427+L427)</f>
        <v>129.38624999999999</v>
      </c>
    </row>
    <row r="428" spans="1:13" ht="19.5">
      <c r="A428" s="60">
        <v>355</v>
      </c>
      <c r="B428" s="163" t="s">
        <v>600</v>
      </c>
      <c r="C428" s="148" t="s">
        <v>594</v>
      </c>
      <c r="D428" s="149" t="s">
        <v>79</v>
      </c>
      <c r="E428" s="285" t="s">
        <v>715</v>
      </c>
      <c r="F428" s="267">
        <f>554+30+50+50</f>
        <v>684</v>
      </c>
      <c r="G428" s="257">
        <f t="shared" ref="G428:G438" si="62">F428/2*0.3</f>
        <v>102.6</v>
      </c>
      <c r="H428" s="257">
        <f t="shared" ref="H428:H433" si="63">G428*7.75%</f>
        <v>7.9514999999999993</v>
      </c>
      <c r="I428" s="253"/>
      <c r="J428" s="257"/>
      <c r="K428" s="257">
        <f t="shared" ref="K428:K433" si="64">G428*0.075</f>
        <v>7.6949999999999994</v>
      </c>
      <c r="L428" s="257">
        <f t="shared" ref="L428:L433" si="65">G428*0.01</f>
        <v>1.026</v>
      </c>
      <c r="M428" s="257">
        <f>SUM(G428+H428+I428+J428+K428+L428)+0.01</f>
        <v>119.28249999999998</v>
      </c>
    </row>
    <row r="429" spans="1:13" ht="19.5">
      <c r="A429" s="60">
        <f t="shared" si="60"/>
        <v>356</v>
      </c>
      <c r="B429" s="163" t="s">
        <v>600</v>
      </c>
      <c r="C429" s="148" t="s">
        <v>594</v>
      </c>
      <c r="D429" s="149" t="s">
        <v>79</v>
      </c>
      <c r="E429" s="285" t="s">
        <v>715</v>
      </c>
      <c r="F429" s="267">
        <f>554+30+50+50</f>
        <v>684</v>
      </c>
      <c r="G429" s="257">
        <f t="shared" si="62"/>
        <v>102.6</v>
      </c>
      <c r="H429" s="257">
        <f t="shared" si="63"/>
        <v>7.9514999999999993</v>
      </c>
      <c r="I429" s="253"/>
      <c r="J429" s="257"/>
      <c r="K429" s="257">
        <f t="shared" si="64"/>
        <v>7.6949999999999994</v>
      </c>
      <c r="L429" s="257">
        <f t="shared" si="65"/>
        <v>1.026</v>
      </c>
      <c r="M429" s="257">
        <f>SUM(G429+H429+I429+J429+K429+L429)+0.01</f>
        <v>119.28249999999998</v>
      </c>
    </row>
    <row r="430" spans="1:13" ht="19.5">
      <c r="A430" s="60">
        <v>357</v>
      </c>
      <c r="B430" s="163" t="s">
        <v>604</v>
      </c>
      <c r="C430" s="148" t="s">
        <v>594</v>
      </c>
      <c r="D430" s="149" t="s">
        <v>79</v>
      </c>
      <c r="E430" s="285" t="s">
        <v>715</v>
      </c>
      <c r="F430" s="267">
        <f>467+50</f>
        <v>517</v>
      </c>
      <c r="G430" s="257">
        <f t="shared" si="62"/>
        <v>77.55</v>
      </c>
      <c r="H430" s="257">
        <f>G430*7.75%</f>
        <v>6.0101249999999995</v>
      </c>
      <c r="I430" s="257"/>
      <c r="J430" s="257"/>
      <c r="K430" s="257">
        <f>G430*0.075</f>
        <v>5.8162499999999993</v>
      </c>
      <c r="L430" s="257">
        <f>G430*0.01</f>
        <v>0.77549999999999997</v>
      </c>
      <c r="M430" s="257">
        <f>SUM(G430:L430)+0.01</f>
        <v>90.161874999999995</v>
      </c>
    </row>
    <row r="431" spans="1:13" ht="19.5">
      <c r="A431" s="60">
        <f t="shared" si="60"/>
        <v>358</v>
      </c>
      <c r="B431" s="163" t="s">
        <v>606</v>
      </c>
      <c r="C431" s="148" t="s">
        <v>594</v>
      </c>
      <c r="D431" s="149" t="s">
        <v>79</v>
      </c>
      <c r="E431" s="285" t="s">
        <v>715</v>
      </c>
      <c r="F431" s="267">
        <f>417+50</f>
        <v>467</v>
      </c>
      <c r="G431" s="257">
        <f t="shared" si="62"/>
        <v>70.05</v>
      </c>
      <c r="H431" s="257">
        <f t="shared" si="63"/>
        <v>5.4288749999999997</v>
      </c>
      <c r="I431" s="253"/>
      <c r="J431" s="257"/>
      <c r="K431" s="257">
        <f t="shared" si="64"/>
        <v>5.2537499999999993</v>
      </c>
      <c r="L431" s="257">
        <f t="shared" si="65"/>
        <v>0.70050000000000001</v>
      </c>
      <c r="M431" s="257">
        <f>SUM(G431+H431+I431+J431+K431+L431)</f>
        <v>81.433125000000004</v>
      </c>
    </row>
    <row r="432" spans="1:13" ht="19.5">
      <c r="A432" s="60">
        <f t="shared" si="60"/>
        <v>359</v>
      </c>
      <c r="B432" s="163" t="s">
        <v>549</v>
      </c>
      <c r="C432" s="148" t="s">
        <v>594</v>
      </c>
      <c r="D432" s="149" t="s">
        <v>79</v>
      </c>
      <c r="E432" s="285" t="s">
        <v>715</v>
      </c>
      <c r="F432" s="267">
        <f>467+30+50+50</f>
        <v>597</v>
      </c>
      <c r="G432" s="257">
        <f t="shared" si="62"/>
        <v>89.55</v>
      </c>
      <c r="H432" s="257">
        <f t="shared" si="63"/>
        <v>6.9401250000000001</v>
      </c>
      <c r="I432" s="253"/>
      <c r="J432" s="257"/>
      <c r="K432" s="257">
        <f t="shared" si="64"/>
        <v>6.7162499999999996</v>
      </c>
      <c r="L432" s="257">
        <f t="shared" si="65"/>
        <v>0.89549999999999996</v>
      </c>
      <c r="M432" s="257">
        <f>SUM(G432+H432+I432+J432+K432+L432)+0.01</f>
        <v>104.111875</v>
      </c>
    </row>
    <row r="433" spans="1:13" ht="19.5">
      <c r="A433" s="186">
        <f>A432+1</f>
        <v>360</v>
      </c>
      <c r="B433" s="163" t="s">
        <v>549</v>
      </c>
      <c r="C433" s="148" t="s">
        <v>594</v>
      </c>
      <c r="D433" s="149" t="s">
        <v>79</v>
      </c>
      <c r="E433" s="285" t="s">
        <v>715</v>
      </c>
      <c r="F433" s="267">
        <f>467+30+50+50</f>
        <v>597</v>
      </c>
      <c r="G433" s="257">
        <f t="shared" si="62"/>
        <v>89.55</v>
      </c>
      <c r="H433" s="257">
        <f t="shared" si="63"/>
        <v>6.9401250000000001</v>
      </c>
      <c r="I433" s="253"/>
      <c r="J433" s="257"/>
      <c r="K433" s="257">
        <f t="shared" si="64"/>
        <v>6.7162499999999996</v>
      </c>
      <c r="L433" s="257">
        <f t="shared" si="65"/>
        <v>0.89549999999999996</v>
      </c>
      <c r="M433" s="257">
        <f>SUM(G433+H433+I433+J433+K433+L433)+0.01</f>
        <v>104.111875</v>
      </c>
    </row>
    <row r="434" spans="1:13" ht="19.5">
      <c r="A434" s="60">
        <f t="shared" ref="A434" si="66">A433+1</f>
        <v>361</v>
      </c>
      <c r="B434" s="163" t="s">
        <v>549</v>
      </c>
      <c r="C434" s="148" t="s">
        <v>594</v>
      </c>
      <c r="D434" s="149" t="s">
        <v>79</v>
      </c>
      <c r="E434" s="285" t="s">
        <v>715</v>
      </c>
      <c r="F434" s="267">
        <f>467+30+50+50</f>
        <v>597</v>
      </c>
      <c r="G434" s="257">
        <f t="shared" si="62"/>
        <v>89.55</v>
      </c>
      <c r="H434" s="257">
        <f>G434*7.75%</f>
        <v>6.9401250000000001</v>
      </c>
      <c r="I434" s="253"/>
      <c r="J434" s="257"/>
      <c r="K434" s="257">
        <f>G434*0.075</f>
        <v>6.7162499999999996</v>
      </c>
      <c r="L434" s="257">
        <f>G434*0.01</f>
        <v>0.89549999999999996</v>
      </c>
      <c r="M434" s="257">
        <f>SUM(G434:L434)+0.01</f>
        <v>104.111875</v>
      </c>
    </row>
    <row r="435" spans="1:13" ht="19.5">
      <c r="A435" s="60">
        <f t="shared" si="60"/>
        <v>362</v>
      </c>
      <c r="B435" s="163" t="s">
        <v>551</v>
      </c>
      <c r="C435" s="148" t="s">
        <v>594</v>
      </c>
      <c r="D435" s="149" t="s">
        <v>79</v>
      </c>
      <c r="E435" s="285" t="s">
        <v>715</v>
      </c>
      <c r="F435" s="267">
        <f>417+30+50+50</f>
        <v>547</v>
      </c>
      <c r="G435" s="257">
        <f t="shared" si="62"/>
        <v>82.05</v>
      </c>
      <c r="H435" s="257">
        <f>G435*7.75%</f>
        <v>6.3588749999999994</v>
      </c>
      <c r="I435" s="253"/>
      <c r="J435" s="257"/>
      <c r="K435" s="257">
        <f>G435*0.075</f>
        <v>6.1537499999999996</v>
      </c>
      <c r="L435" s="257">
        <f>G435*0.01</f>
        <v>0.82050000000000001</v>
      </c>
      <c r="M435" s="257">
        <f>SUM(G435+H435+I435+J435+K435+L435)</f>
        <v>95.383124999999993</v>
      </c>
    </row>
    <row r="436" spans="1:13" ht="19.5">
      <c r="A436" s="60">
        <f t="shared" si="60"/>
        <v>363</v>
      </c>
      <c r="B436" s="163" t="s">
        <v>554</v>
      </c>
      <c r="C436" s="148" t="s">
        <v>594</v>
      </c>
      <c r="D436" s="149" t="s">
        <v>79</v>
      </c>
      <c r="E436" s="285" t="s">
        <v>715</v>
      </c>
      <c r="F436" s="267">
        <f>417+50</f>
        <v>467</v>
      </c>
      <c r="G436" s="257">
        <f t="shared" si="62"/>
        <v>70.05</v>
      </c>
      <c r="H436" s="257">
        <f>G436*7.75%</f>
        <v>5.4288749999999997</v>
      </c>
      <c r="I436" s="253"/>
      <c r="J436" s="257"/>
      <c r="K436" s="257">
        <f>G436*0.075</f>
        <v>5.2537499999999993</v>
      </c>
      <c r="L436" s="257">
        <f>G436*0.01</f>
        <v>0.70050000000000001</v>
      </c>
      <c r="M436" s="257">
        <f>SUM(G436+H436+I436+J436+K436+L436)</f>
        <v>81.433125000000004</v>
      </c>
    </row>
    <row r="437" spans="1:13" ht="19.5">
      <c r="A437" s="60">
        <f t="shared" si="60"/>
        <v>364</v>
      </c>
      <c r="B437" s="185" t="s">
        <v>554</v>
      </c>
      <c r="C437" s="183" t="s">
        <v>594</v>
      </c>
      <c r="D437" s="184" t="s">
        <v>760</v>
      </c>
      <c r="E437" s="282" t="s">
        <v>715</v>
      </c>
      <c r="F437" s="269">
        <f>417</f>
        <v>417</v>
      </c>
      <c r="G437" s="257">
        <f>F437/2*0.3</f>
        <v>62.55</v>
      </c>
      <c r="H437" s="257">
        <f>G437*7.75%</f>
        <v>4.8476249999999999</v>
      </c>
      <c r="I437" s="253"/>
      <c r="J437" s="257"/>
      <c r="K437" s="257">
        <f>G437*0.075</f>
        <v>4.6912499999999993</v>
      </c>
      <c r="L437" s="257">
        <f>G437*0.01</f>
        <v>0.62549999999999994</v>
      </c>
      <c r="M437" s="257">
        <f>SUM(G437+H437+I437+J437+K437+L437)+0.01</f>
        <v>72.724374999999995</v>
      </c>
    </row>
    <row r="438" spans="1:13" ht="19.5">
      <c r="A438" s="60">
        <f t="shared" si="60"/>
        <v>365</v>
      </c>
      <c r="B438" s="185" t="s">
        <v>554</v>
      </c>
      <c r="C438" s="183" t="s">
        <v>594</v>
      </c>
      <c r="D438" s="184" t="s">
        <v>760</v>
      </c>
      <c r="E438" s="282" t="s">
        <v>715</v>
      </c>
      <c r="F438" s="269">
        <v>417</v>
      </c>
      <c r="G438" s="257">
        <f t="shared" si="62"/>
        <v>62.55</v>
      </c>
      <c r="H438" s="257">
        <f>G438*7.75%</f>
        <v>4.8476249999999999</v>
      </c>
      <c r="I438" s="253"/>
      <c r="J438" s="257"/>
      <c r="K438" s="257">
        <f>G438*0.075</f>
        <v>4.6912499999999993</v>
      </c>
      <c r="L438" s="257">
        <f>G438*0.01</f>
        <v>0.62549999999999994</v>
      </c>
      <c r="M438" s="257">
        <f>SUM(G438+H438+I438+J438+K438+L438)+0.01</f>
        <v>72.724374999999995</v>
      </c>
    </row>
    <row r="439" spans="1:13">
      <c r="A439" s="127"/>
      <c r="B439" s="118"/>
      <c r="C439" s="118"/>
      <c r="D439" s="118"/>
      <c r="E439" s="296"/>
      <c r="F439" s="301">
        <f>SUM(F421:F438)</f>
        <v>11011</v>
      </c>
      <c r="G439" s="301">
        <f>SUM(G421:G438)</f>
        <v>1457.5499999999997</v>
      </c>
      <c r="H439" s="301">
        <f>SUM(H421:H438)+0.01</f>
        <v>112.97012499999998</v>
      </c>
      <c r="I439" s="301">
        <f>SUM(I421:I438)</f>
        <v>0</v>
      </c>
      <c r="J439" s="301">
        <f>SUM(J421:J438)</f>
        <v>0</v>
      </c>
      <c r="K439" s="301">
        <f>SUM(K421:K438)+0.02</f>
        <v>109.33624999999999</v>
      </c>
      <c r="L439" s="301">
        <f>SUM(L421:L438)+0.04</f>
        <v>14.615499999999999</v>
      </c>
      <c r="M439" s="301">
        <f>SUM(M421:M438)-0.02</f>
        <v>1694.4818750000004</v>
      </c>
    </row>
    <row r="440" spans="1:13" ht="15.75" thickBot="1">
      <c r="A440" s="127"/>
      <c r="B440" s="426" t="s">
        <v>678</v>
      </c>
      <c r="C440" s="427"/>
      <c r="D440" s="428"/>
      <c r="E440" s="297"/>
      <c r="F440" s="299">
        <f>SUM(F306+F309+F420+F439)</f>
        <v>76329.5</v>
      </c>
      <c r="G440" s="299">
        <f t="shared" ref="G440:M440" si="67">SUM(G309+G420+G439)</f>
        <v>10677.675000000007</v>
      </c>
      <c r="H440" s="299">
        <f t="shared" si="67"/>
        <v>785.0903237499997</v>
      </c>
      <c r="I440" s="299">
        <f t="shared" si="67"/>
        <v>32.892829999999996</v>
      </c>
      <c r="J440" s="299">
        <f t="shared" si="67"/>
        <v>0</v>
      </c>
      <c r="K440" s="299">
        <f t="shared" si="67"/>
        <v>800.97562500000015</v>
      </c>
      <c r="L440" s="299">
        <f t="shared" si="67"/>
        <v>107.12675</v>
      </c>
      <c r="M440" s="299">
        <f t="shared" si="67"/>
        <v>12403.770528749996</v>
      </c>
    </row>
    <row r="441" spans="1:13" ht="15.75" thickBot="1">
      <c r="A441" s="127"/>
      <c r="B441" s="429" t="s">
        <v>617</v>
      </c>
      <c r="C441" s="430"/>
      <c r="D441" s="431"/>
      <c r="E441" s="298"/>
      <c r="F441" s="300">
        <f>SUM(F440,F302,F281,F210,F150)</f>
        <v>241971.97</v>
      </c>
      <c r="G441" s="300">
        <f>SUM(G150+G210+G281+G302+G440)+0.01</f>
        <v>14115.142500000011</v>
      </c>
      <c r="H441" s="300">
        <f>SUM(H150+H210+H281+H302+H440)</f>
        <v>1002.8684362499996</v>
      </c>
      <c r="I441" s="300">
        <f>SUM(I150+I210+I281+I302+I440)-0.01</f>
        <v>70.557179999999988</v>
      </c>
      <c r="J441" s="300">
        <f>SUM(J150+J210+J281+J302+J440)</f>
        <v>0</v>
      </c>
      <c r="K441" s="300">
        <f>SUM(K150+K210+K281+K302+K440)</f>
        <v>1058.8256875000002</v>
      </c>
      <c r="L441" s="300">
        <f>SUM(L150+L210+L281+L302+L440)</f>
        <v>141.641425</v>
      </c>
      <c r="M441" s="300">
        <f>SUM(M150+M210+M281+M302+M440)-0.01</f>
        <v>16389.035228749995</v>
      </c>
    </row>
  </sheetData>
  <mergeCells count="22">
    <mergeCell ref="B440:D440"/>
    <mergeCell ref="B441:D441"/>
    <mergeCell ref="A43:D43"/>
    <mergeCell ref="B302:C302"/>
    <mergeCell ref="A1:M1"/>
    <mergeCell ref="A2:M2"/>
    <mergeCell ref="F3:G3"/>
    <mergeCell ref="H3:L3"/>
    <mergeCell ref="M3:M5"/>
    <mergeCell ref="F4:F5"/>
    <mergeCell ref="G4:G5"/>
    <mergeCell ref="L4:L5"/>
    <mergeCell ref="E3:E5"/>
    <mergeCell ref="A3:A5"/>
    <mergeCell ref="B3:B5"/>
    <mergeCell ref="J4:J5"/>
    <mergeCell ref="K4:K5"/>
    <mergeCell ref="C3:C5"/>
    <mergeCell ref="B150:D150"/>
    <mergeCell ref="D3:D5"/>
    <mergeCell ref="H4:H5"/>
    <mergeCell ref="I4:I5"/>
  </mergeCells>
  <phoneticPr fontId="35" type="noConversion"/>
  <printOptions horizontalCentered="1"/>
  <pageMargins left="0.70866141732283472" right="0.70866141732283472" top="0.9448818897637796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SALARIO</vt:lpstr>
      <vt:lpstr>VACACIONES</vt:lpstr>
      <vt:lpstr>SALARIO!Títulos_a_imprimir</vt:lpstr>
      <vt:lpstr>VACACIONES!Títulos_a_imprimir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UAIP</cp:lastModifiedBy>
  <cp:lastPrinted>2022-04-20T01:17:38Z</cp:lastPrinted>
  <dcterms:created xsi:type="dcterms:W3CDTF">2021-10-27T19:40:53Z</dcterms:created>
  <dcterms:modified xsi:type="dcterms:W3CDTF">2023-10-27T15:37:28Z</dcterms:modified>
</cp:coreProperties>
</file>