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0830" windowHeight="9450" activeTab="1"/>
  </bookViews>
  <sheets>
    <sheet name="ACTIVO FIJO JUNIO- 2018" sheetId="1" r:id="rId1"/>
    <sheet name="ACT. FIJO YA DEPRE. JUNIO 2018" sheetId="2" r:id="rId2"/>
  </sheets>
  <externalReferences>
    <externalReference r:id="rId3"/>
  </externalReferences>
  <definedNames>
    <definedName name="_xlnm.Print_Area" localSheetId="1">'ACT. FIJO YA DEPRE. JUNIO 2018'!$B$1:$AL$209</definedName>
    <definedName name="_xlnm.Print_Area" localSheetId="0">'ACTIVO FIJO JUNIO- 2018'!$B$1:$DR$195</definedName>
    <definedName name="Print_Area" localSheetId="1">'ACT. FIJO YA DEPRE. JUNIO 2018'!$B$1:$AL$209</definedName>
    <definedName name="Print_Titles" localSheetId="1">'ACT. FIJO YA DEPRE. JUNIO 2018'!$5:$7</definedName>
    <definedName name="_xlnm.Print_Titles" localSheetId="1">'ACT. FIJO YA DEPRE. JUNIO 2018'!$6:$7</definedName>
    <definedName name="_xlnm.Print_Titles" localSheetId="0">'ACTIVO FIJO JUNIO- 2018'!$4:$5</definedName>
  </definedNames>
  <calcPr calcId="152511"/>
</workbook>
</file>

<file path=xl/calcChain.xml><?xml version="1.0" encoding="utf-8"?>
<calcChain xmlns="http://schemas.openxmlformats.org/spreadsheetml/2006/main">
  <c r="AL200" i="2"/>
  <c r="AG200"/>
  <c r="AF200"/>
  <c r="AE200"/>
  <c r="AD200"/>
  <c r="AC200"/>
  <c r="AB200"/>
  <c r="AA200"/>
  <c r="Z200"/>
  <c r="Y200"/>
  <c r="X200"/>
  <c r="W200"/>
  <c r="V200"/>
  <c r="U200"/>
  <c r="T200"/>
  <c r="S200"/>
  <c r="R200"/>
  <c r="Q200"/>
  <c r="P200"/>
  <c r="O200"/>
  <c r="N200"/>
  <c r="M200"/>
  <c r="L200"/>
  <c r="K200"/>
  <c r="J200"/>
  <c r="G200"/>
  <c r="AK199"/>
  <c r="I199"/>
  <c r="H199"/>
  <c r="AK198"/>
  <c r="I198"/>
  <c r="I200" s="1"/>
  <c r="H198"/>
  <c r="V197"/>
  <c r="U197"/>
  <c r="T197"/>
  <c r="S197"/>
  <c r="R197"/>
  <c r="Q197"/>
  <c r="P197"/>
  <c r="O197"/>
  <c r="N197"/>
  <c r="M197"/>
  <c r="L197"/>
  <c r="K197"/>
  <c r="J197"/>
  <c r="DP196"/>
  <c r="W196"/>
  <c r="I196"/>
  <c r="CZ196" s="1"/>
  <c r="H196"/>
  <c r="DP195"/>
  <c r="BB195"/>
  <c r="AR195"/>
  <c r="W195"/>
  <c r="I195"/>
  <c r="H195"/>
  <c r="DP194"/>
  <c r="CX194"/>
  <c r="CT194"/>
  <c r="CP194"/>
  <c r="CJ194"/>
  <c r="CF194"/>
  <c r="CB194"/>
  <c r="BV194"/>
  <c r="BR194"/>
  <c r="BN194"/>
  <c r="BH194"/>
  <c r="BD194"/>
  <c r="AZ194"/>
  <c r="AT194"/>
  <c r="AP194"/>
  <c r="W194"/>
  <c r="I194"/>
  <c r="CY194" s="1"/>
  <c r="H194"/>
  <c r="DP193"/>
  <c r="W193"/>
  <c r="I193"/>
  <c r="H193"/>
  <c r="DP192"/>
  <c r="W192"/>
  <c r="I192"/>
  <c r="CY192" s="1"/>
  <c r="H192"/>
  <c r="DP191"/>
  <c r="W191"/>
  <c r="I191"/>
  <c r="CY191" s="1"/>
  <c r="H191"/>
  <c r="DP190"/>
  <c r="W190"/>
  <c r="I190"/>
  <c r="CY190" s="1"/>
  <c r="H190"/>
  <c r="I189"/>
  <c r="H189"/>
  <c r="CU189" s="1"/>
  <c r="I188"/>
  <c r="H188"/>
  <c r="I187"/>
  <c r="H187"/>
  <c r="CU187" s="1"/>
  <c r="I186"/>
  <c r="H186"/>
  <c r="CU186" s="1"/>
  <c r="I185"/>
  <c r="CV185" s="1"/>
  <c r="H185"/>
  <c r="I184"/>
  <c r="CW184" s="1"/>
  <c r="H184"/>
  <c r="BZ183"/>
  <c r="BV183"/>
  <c r="BR183"/>
  <c r="BL183"/>
  <c r="BH183"/>
  <c r="BD183"/>
  <c r="AX183"/>
  <c r="AT183"/>
  <c r="AP183"/>
  <c r="AI183"/>
  <c r="AE183"/>
  <c r="I183"/>
  <c r="BX183" s="1"/>
  <c r="H183"/>
  <c r="I182"/>
  <c r="CW182" s="1"/>
  <c r="H182"/>
  <c r="CT181"/>
  <c r="CN181"/>
  <c r="CJ181"/>
  <c r="CF181"/>
  <c r="BZ181"/>
  <c r="BV181"/>
  <c r="BR181"/>
  <c r="BL181"/>
  <c r="BH181"/>
  <c r="BD181"/>
  <c r="AX181"/>
  <c r="AT181"/>
  <c r="AP181"/>
  <c r="AI181"/>
  <c r="AE181"/>
  <c r="I181"/>
  <c r="CW181" s="1"/>
  <c r="H181"/>
  <c r="I180"/>
  <c r="CW180" s="1"/>
  <c r="H180"/>
  <c r="CT179"/>
  <c r="CN179"/>
  <c r="CJ179"/>
  <c r="CF179"/>
  <c r="BZ179"/>
  <c r="BV179"/>
  <c r="BR179"/>
  <c r="BL179"/>
  <c r="BH179"/>
  <c r="BD179"/>
  <c r="AX179"/>
  <c r="AT179"/>
  <c r="AP179"/>
  <c r="AI179"/>
  <c r="AE179"/>
  <c r="I179"/>
  <c r="CW179" s="1"/>
  <c r="H179"/>
  <c r="I178"/>
  <c r="H178"/>
  <c r="W177"/>
  <c r="I177"/>
  <c r="H177"/>
  <c r="AH176"/>
  <c r="W176"/>
  <c r="I176"/>
  <c r="AD176" s="1"/>
  <c r="H176"/>
  <c r="AI175"/>
  <c r="AE175"/>
  <c r="AA175"/>
  <c r="W175"/>
  <c r="I175"/>
  <c r="AH175" s="1"/>
  <c r="H175"/>
  <c r="I174"/>
  <c r="H174"/>
  <c r="I173"/>
  <c r="H173"/>
  <c r="I172"/>
  <c r="H172"/>
  <c r="I171"/>
  <c r="H171"/>
  <c r="I170"/>
  <c r="H170"/>
  <c r="I169"/>
  <c r="AL169" s="1"/>
  <c r="H169"/>
  <c r="I168"/>
  <c r="AL168" s="1"/>
  <c r="H168"/>
  <c r="AC167"/>
  <c r="W167"/>
  <c r="I167"/>
  <c r="H167"/>
  <c r="AC166"/>
  <c r="W166"/>
  <c r="I166"/>
  <c r="H166"/>
  <c r="AC165"/>
  <c r="W165"/>
  <c r="I165"/>
  <c r="H165"/>
  <c r="AC164"/>
  <c r="W164"/>
  <c r="I164"/>
  <c r="H164"/>
  <c r="AC163"/>
  <c r="W163"/>
  <c r="I163"/>
  <c r="H163"/>
  <c r="AC162"/>
  <c r="W162"/>
  <c r="I162"/>
  <c r="H162"/>
  <c r="AC161"/>
  <c r="W161"/>
  <c r="I161"/>
  <c r="H161"/>
  <c r="AC160"/>
  <c r="W160"/>
  <c r="I160"/>
  <c r="H160"/>
  <c r="AC159"/>
  <c r="W159"/>
  <c r="I159"/>
  <c r="H159"/>
  <c r="AC158"/>
  <c r="W158"/>
  <c r="I158"/>
  <c r="H158"/>
  <c r="AC157"/>
  <c r="W157"/>
  <c r="I157"/>
  <c r="H157"/>
  <c r="AK156"/>
  <c r="AL156" s="1"/>
  <c r="I156"/>
  <c r="H156"/>
  <c r="AK155"/>
  <c r="AL155" s="1"/>
  <c r="I155"/>
  <c r="H155"/>
  <c r="AL154"/>
  <c r="I154"/>
  <c r="H154"/>
  <c r="AL153"/>
  <c r="I153"/>
  <c r="H153"/>
  <c r="AL152"/>
  <c r="I152"/>
  <c r="H152"/>
  <c r="AL151"/>
  <c r="AD151"/>
  <c r="W151"/>
  <c r="I151"/>
  <c r="Z151" s="1"/>
  <c r="H151"/>
  <c r="AL150"/>
  <c r="W150"/>
  <c r="I150"/>
  <c r="H150"/>
  <c r="AL149"/>
  <c r="AD149"/>
  <c r="W149"/>
  <c r="I149"/>
  <c r="Z149" s="1"/>
  <c r="H149"/>
  <c r="AL148"/>
  <c r="W148"/>
  <c r="I148"/>
  <c r="H148"/>
  <c r="AL147"/>
  <c r="AD147"/>
  <c r="W147"/>
  <c r="I147"/>
  <c r="Z147" s="1"/>
  <c r="H147"/>
  <c r="AL146"/>
  <c r="W146"/>
  <c r="I146"/>
  <c r="H146"/>
  <c r="AL145"/>
  <c r="AD145"/>
  <c r="W145"/>
  <c r="I145"/>
  <c r="Z145" s="1"/>
  <c r="H145"/>
  <c r="AL144"/>
  <c r="W144"/>
  <c r="I144"/>
  <c r="H144"/>
  <c r="AL143"/>
  <c r="AD143"/>
  <c r="W143"/>
  <c r="I143"/>
  <c r="Z143" s="1"/>
  <c r="H143"/>
  <c r="AL142"/>
  <c r="W142"/>
  <c r="I142"/>
  <c r="H142"/>
  <c r="AL141"/>
  <c r="AD141"/>
  <c r="W141"/>
  <c r="I141"/>
  <c r="AA141" s="1"/>
  <c r="H141"/>
  <c r="AL140"/>
  <c r="AE140"/>
  <c r="AA140"/>
  <c r="W140"/>
  <c r="I140"/>
  <c r="AF140" s="1"/>
  <c r="H140"/>
  <c r="AL139"/>
  <c r="W139"/>
  <c r="I139"/>
  <c r="H139"/>
  <c r="AL138"/>
  <c r="AE138"/>
  <c r="AA138"/>
  <c r="W138"/>
  <c r="I138"/>
  <c r="AF138" s="1"/>
  <c r="H138"/>
  <c r="AL137"/>
  <c r="AC137"/>
  <c r="W137"/>
  <c r="I137"/>
  <c r="H137"/>
  <c r="AL136"/>
  <c r="I136"/>
  <c r="H136"/>
  <c r="AK135"/>
  <c r="AL135" s="1"/>
  <c r="I135"/>
  <c r="H135"/>
  <c r="AK134"/>
  <c r="AL134" s="1"/>
  <c r="I134"/>
  <c r="H134"/>
  <c r="AK133"/>
  <c r="I133"/>
  <c r="H133"/>
  <c r="AL132"/>
  <c r="I132"/>
  <c r="H132"/>
  <c r="AL131"/>
  <c r="I131"/>
  <c r="H131"/>
  <c r="AL130"/>
  <c r="I130"/>
  <c r="H130"/>
  <c r="AL129"/>
  <c r="I129"/>
  <c r="H129"/>
  <c r="AL128"/>
  <c r="I128"/>
  <c r="H128"/>
  <c r="AL127"/>
  <c r="I127"/>
  <c r="H127"/>
  <c r="AL126"/>
  <c r="I126"/>
  <c r="H126"/>
  <c r="AL125"/>
  <c r="I125"/>
  <c r="H125"/>
  <c r="AL124"/>
  <c r="I124"/>
  <c r="H124"/>
  <c r="AL123"/>
  <c r="I123"/>
  <c r="H123"/>
  <c r="AL122"/>
  <c r="I122"/>
  <c r="H122"/>
  <c r="AL121"/>
  <c r="I121"/>
  <c r="H121"/>
  <c r="AL120"/>
  <c r="I120"/>
  <c r="H120"/>
  <c r="AL119"/>
  <c r="I119"/>
  <c r="H119"/>
  <c r="AL118"/>
  <c r="I118"/>
  <c r="H118"/>
  <c r="AL117"/>
  <c r="I117"/>
  <c r="H117"/>
  <c r="AL116"/>
  <c r="I116"/>
  <c r="H116"/>
  <c r="AL115"/>
  <c r="I115"/>
  <c r="H115"/>
  <c r="AL114"/>
  <c r="I114"/>
  <c r="H114"/>
  <c r="AL113"/>
  <c r="I113"/>
  <c r="H113"/>
  <c r="AL112"/>
  <c r="I112"/>
  <c r="H112"/>
  <c r="AL111"/>
  <c r="I111"/>
  <c r="H111"/>
  <c r="AL110"/>
  <c r="I110"/>
  <c r="H110"/>
  <c r="AL109"/>
  <c r="I109"/>
  <c r="H109"/>
  <c r="AL108"/>
  <c r="I108"/>
  <c r="H108"/>
  <c r="AL107"/>
  <c r="I107"/>
  <c r="H107"/>
  <c r="AL106"/>
  <c r="I106"/>
  <c r="H106"/>
  <c r="AL105"/>
  <c r="I105"/>
  <c r="H105"/>
  <c r="AL104"/>
  <c r="I104"/>
  <c r="H104"/>
  <c r="AL103"/>
  <c r="I103"/>
  <c r="H103"/>
  <c r="AL102"/>
  <c r="I102"/>
  <c r="H102"/>
  <c r="AL101"/>
  <c r="I101"/>
  <c r="H101"/>
  <c r="AL100"/>
  <c r="I100"/>
  <c r="H100"/>
  <c r="AL99"/>
  <c r="I99"/>
  <c r="H99"/>
  <c r="AL98"/>
  <c r="I98"/>
  <c r="H98"/>
  <c r="AL97"/>
  <c r="I97"/>
  <c r="H97"/>
  <c r="AL96"/>
  <c r="I96"/>
  <c r="H96"/>
  <c r="AL95"/>
  <c r="I95"/>
  <c r="H95"/>
  <c r="AL94"/>
  <c r="I94"/>
  <c r="H94"/>
  <c r="AL93"/>
  <c r="G93"/>
  <c r="G197" s="1"/>
  <c r="AF91"/>
  <c r="AE91"/>
  <c r="AD91"/>
  <c r="AC91"/>
  <c r="AB91"/>
  <c r="AA91"/>
  <c r="Z91"/>
  <c r="Y91"/>
  <c r="X91"/>
  <c r="W91"/>
  <c r="V91"/>
  <c r="U91"/>
  <c r="T91"/>
  <c r="S91"/>
  <c r="R91"/>
  <c r="Q91"/>
  <c r="J91"/>
  <c r="W90"/>
  <c r="I90"/>
  <c r="CZ90" s="1"/>
  <c r="H90"/>
  <c r="W89"/>
  <c r="I89"/>
  <c r="H89"/>
  <c r="W88"/>
  <c r="I88"/>
  <c r="H88"/>
  <c r="W87"/>
  <c r="I87"/>
  <c r="H87"/>
  <c r="CY86"/>
  <c r="CI86"/>
  <c r="BO86"/>
  <c r="AU86"/>
  <c r="W86"/>
  <c r="I86"/>
  <c r="H86"/>
  <c r="CX85"/>
  <c r="CP85"/>
  <c r="CH85"/>
  <c r="BV85"/>
  <c r="BN85"/>
  <c r="BF85"/>
  <c r="AT85"/>
  <c r="W85"/>
  <c r="I85"/>
  <c r="CT85" s="1"/>
  <c r="H85"/>
  <c r="CX84"/>
  <c r="CT84"/>
  <c r="CP84"/>
  <c r="CJ84"/>
  <c r="CF84"/>
  <c r="CB84"/>
  <c r="BV84"/>
  <c r="BR84"/>
  <c r="BN84"/>
  <c r="BH84"/>
  <c r="BD84"/>
  <c r="AZ84"/>
  <c r="AT84"/>
  <c r="AP84"/>
  <c r="W84"/>
  <c r="I84"/>
  <c r="CY84" s="1"/>
  <c r="H84"/>
  <c r="W83"/>
  <c r="I83"/>
  <c r="H83"/>
  <c r="W82"/>
  <c r="I82"/>
  <c r="CZ82" s="1"/>
  <c r="H82"/>
  <c r="CX81"/>
  <c r="CT81"/>
  <c r="CP81"/>
  <c r="CJ81"/>
  <c r="CF81"/>
  <c r="CB81"/>
  <c r="BV81"/>
  <c r="BR81"/>
  <c r="BN81"/>
  <c r="BH81"/>
  <c r="BD81"/>
  <c r="AZ81"/>
  <c r="AT81"/>
  <c r="AP81"/>
  <c r="W81"/>
  <c r="I81"/>
  <c r="CY81" s="1"/>
  <c r="H81"/>
  <c r="W80"/>
  <c r="I80"/>
  <c r="CZ80" s="1"/>
  <c r="H80"/>
  <c r="CV79"/>
  <c r="CL79"/>
  <c r="CD79"/>
  <c r="BT79"/>
  <c r="BJ79"/>
  <c r="BB79"/>
  <c r="AR79"/>
  <c r="W79"/>
  <c r="I79"/>
  <c r="H79"/>
  <c r="W78"/>
  <c r="I78"/>
  <c r="CZ78" s="1"/>
  <c r="H78"/>
  <c r="W77"/>
  <c r="I77"/>
  <c r="H77"/>
  <c r="W76"/>
  <c r="I76"/>
  <c r="CZ76" s="1"/>
  <c r="H76"/>
  <c r="CX75"/>
  <c r="CT75"/>
  <c r="CP75"/>
  <c r="CJ75"/>
  <c r="CF75"/>
  <c r="CB75"/>
  <c r="BV75"/>
  <c r="BR75"/>
  <c r="BN75"/>
  <c r="BH75"/>
  <c r="BD75"/>
  <c r="AZ75"/>
  <c r="AT75"/>
  <c r="AP75"/>
  <c r="W75"/>
  <c r="I75"/>
  <c r="CY75" s="1"/>
  <c r="H75"/>
  <c r="W74"/>
  <c r="I74"/>
  <c r="CZ74" s="1"/>
  <c r="H74"/>
  <c r="AI73"/>
  <c r="AE73"/>
  <c r="AA73"/>
  <c r="W73"/>
  <c r="I73"/>
  <c r="AH73" s="1"/>
  <c r="H73"/>
  <c r="I72"/>
  <c r="AL72" s="1"/>
  <c r="H72"/>
  <c r="W71"/>
  <c r="I71"/>
  <c r="AH71" s="1"/>
  <c r="H71"/>
  <c r="W70"/>
  <c r="I70"/>
  <c r="AI70" s="1"/>
  <c r="H70"/>
  <c r="I69"/>
  <c r="AL69" s="1"/>
  <c r="H69"/>
  <c r="I68"/>
  <c r="AL68" s="1"/>
  <c r="H68"/>
  <c r="AL67"/>
  <c r="AK67"/>
  <c r="I67"/>
  <c r="H67"/>
  <c r="AL66"/>
  <c r="AK66"/>
  <c r="I66"/>
  <c r="H66"/>
  <c r="AL65"/>
  <c r="AK65"/>
  <c r="I65"/>
  <c r="H65"/>
  <c r="AL64"/>
  <c r="I64"/>
  <c r="H64"/>
  <c r="AL63"/>
  <c r="I63"/>
  <c r="H63"/>
  <c r="AL62"/>
  <c r="I62"/>
  <c r="H62"/>
  <c r="AL61"/>
  <c r="I61"/>
  <c r="H61"/>
  <c r="AL60"/>
  <c r="I60"/>
  <c r="H60"/>
  <c r="W59"/>
  <c r="I59"/>
  <c r="AG59" s="1"/>
  <c r="H59"/>
  <c r="AL58"/>
  <c r="AK58"/>
  <c r="I58"/>
  <c r="H58"/>
  <c r="AL57"/>
  <c r="AK57"/>
  <c r="I57"/>
  <c r="H57"/>
  <c r="AL56"/>
  <c r="AK56"/>
  <c r="I56"/>
  <c r="H56"/>
  <c r="AL55"/>
  <c r="AK55"/>
  <c r="I55"/>
  <c r="H55"/>
  <c r="AL54"/>
  <c r="AK54"/>
  <c r="I54"/>
  <c r="H54"/>
  <c r="AL53"/>
  <c r="AK53"/>
  <c r="I53"/>
  <c r="H53"/>
  <c r="AL52"/>
  <c r="AK52"/>
  <c r="AK91" s="1"/>
  <c r="I52"/>
  <c r="H52"/>
  <c r="AL51"/>
  <c r="I51"/>
  <c r="H51"/>
  <c r="AL50"/>
  <c r="I50"/>
  <c r="H50"/>
  <c r="AL49"/>
  <c r="I49"/>
  <c r="H49"/>
  <c r="AL48"/>
  <c r="I48"/>
  <c r="H48"/>
  <c r="AL47"/>
  <c r="I47"/>
  <c r="H47"/>
  <c r="AL46"/>
  <c r="H46"/>
  <c r="G46"/>
  <c r="I46" s="1"/>
  <c r="O46" s="1"/>
  <c r="AL45"/>
  <c r="G45"/>
  <c r="I45" s="1"/>
  <c r="AL44"/>
  <c r="G44"/>
  <c r="H44" s="1"/>
  <c r="AL43"/>
  <c r="G43"/>
  <c r="H43" s="1"/>
  <c r="AL42"/>
  <c r="G42"/>
  <c r="H42" s="1"/>
  <c r="AL41"/>
  <c r="H41"/>
  <c r="G41"/>
  <c r="AG39"/>
  <c r="AF39"/>
  <c r="AE39"/>
  <c r="AD39"/>
  <c r="AC39"/>
  <c r="AB39"/>
  <c r="AA39"/>
  <c r="Z39"/>
  <c r="Y39"/>
  <c r="X39"/>
  <c r="W39"/>
  <c r="V39"/>
  <c r="U39"/>
  <c r="T39"/>
  <c r="S39"/>
  <c r="R39"/>
  <c r="Q39"/>
  <c r="O39"/>
  <c r="N39"/>
  <c r="M39"/>
  <c r="L39"/>
  <c r="K39"/>
  <c r="J39"/>
  <c r="AJ38"/>
  <c r="I38"/>
  <c r="H38"/>
  <c r="AL37"/>
  <c r="AF37"/>
  <c r="AB37"/>
  <c r="X37"/>
  <c r="I37"/>
  <c r="AI37" s="1"/>
  <c r="H37"/>
  <c r="AE36"/>
  <c r="AA36"/>
  <c r="W36"/>
  <c r="I36"/>
  <c r="AH36" s="1"/>
  <c r="H36"/>
  <c r="AE35"/>
  <c r="AA35"/>
  <c r="W35"/>
  <c r="I35"/>
  <c r="AH35" s="1"/>
  <c r="H35"/>
  <c r="AK34"/>
  <c r="AK39" s="1"/>
  <c r="I34"/>
  <c r="H34"/>
  <c r="AL33"/>
  <c r="I33"/>
  <c r="H33"/>
  <c r="AL32"/>
  <c r="G32"/>
  <c r="H32" s="1"/>
  <c r="AL31"/>
  <c r="H31"/>
  <c r="G31"/>
  <c r="I31" s="1"/>
  <c r="P31" s="1"/>
  <c r="AL30"/>
  <c r="G30"/>
  <c r="H30" s="1"/>
  <c r="AL29"/>
  <c r="G29"/>
  <c r="H29" s="1"/>
  <c r="AL28"/>
  <c r="G28"/>
  <c r="I28" s="1"/>
  <c r="P28" s="1"/>
  <c r="AL27"/>
  <c r="G27"/>
  <c r="H27" s="1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AI24"/>
  <c r="I24"/>
  <c r="H24"/>
  <c r="AI23"/>
  <c r="I23"/>
  <c r="H23"/>
  <c r="I22"/>
  <c r="H22"/>
  <c r="AL21"/>
  <c r="AK21"/>
  <c r="I21"/>
  <c r="H21"/>
  <c r="AL20"/>
  <c r="AK20"/>
  <c r="I20"/>
  <c r="H20"/>
  <c r="AL19"/>
  <c r="AK19"/>
  <c r="I19"/>
  <c r="H19"/>
  <c r="AL18"/>
  <c r="AK18"/>
  <c r="I18"/>
  <c r="H18"/>
  <c r="AL17"/>
  <c r="AK17"/>
  <c r="I17"/>
  <c r="H17"/>
  <c r="AL16"/>
  <c r="AK16"/>
  <c r="I16"/>
  <c r="H16"/>
  <c r="AL15"/>
  <c r="AK15"/>
  <c r="AK25" s="1"/>
  <c r="G15"/>
  <c r="H15" s="1"/>
  <c r="AL14"/>
  <c r="G14"/>
  <c r="H14" s="1"/>
  <c r="AL13"/>
  <c r="G13"/>
  <c r="H13" s="1"/>
  <c r="AL12"/>
  <c r="G12"/>
  <c r="H12" s="1"/>
  <c r="AL11"/>
  <c r="G11"/>
  <c r="H11" s="1"/>
  <c r="AL10"/>
  <c r="G10"/>
  <c r="H10" s="1"/>
  <c r="AL9"/>
  <c r="G9"/>
  <c r="G25" s="1"/>
  <c r="DQ182" i="1"/>
  <c r="BL182"/>
  <c r="BJ182"/>
  <c r="G182"/>
  <c r="DR181"/>
  <c r="AY181"/>
  <c r="I181"/>
  <c r="BI181" s="1"/>
  <c r="H181"/>
  <c r="DR180"/>
  <c r="AY180"/>
  <c r="I180"/>
  <c r="BI180" s="1"/>
  <c r="H180"/>
  <c r="DR179"/>
  <c r="DR182" s="1"/>
  <c r="AY179"/>
  <c r="I179"/>
  <c r="I182" s="1"/>
  <c r="H179"/>
  <c r="H182" s="1"/>
  <c r="G176"/>
  <c r="DD175"/>
  <c r="I175"/>
  <c r="DH175" s="1"/>
  <c r="H175"/>
  <c r="I174"/>
  <c r="I176" s="1"/>
  <c r="H174"/>
  <c r="H176" s="1"/>
  <c r="AS171"/>
  <c r="AR171"/>
  <c r="AQ171"/>
  <c r="AP171"/>
  <c r="AO171"/>
  <c r="AN171"/>
  <c r="AM171"/>
  <c r="AL171"/>
  <c r="AK171"/>
  <c r="AJ171"/>
  <c r="AI171"/>
  <c r="AH171"/>
  <c r="AG171"/>
  <c r="AF171"/>
  <c r="AE171"/>
  <c r="AD171"/>
  <c r="AC171"/>
  <c r="AB171"/>
  <c r="AA171"/>
  <c r="Z171"/>
  <c r="Y171"/>
  <c r="X171"/>
  <c r="W171"/>
  <c r="V171"/>
  <c r="U171"/>
  <c r="T171"/>
  <c r="S171"/>
  <c r="R171"/>
  <c r="Q171"/>
  <c r="P171"/>
  <c r="O171"/>
  <c r="N171"/>
  <c r="M171"/>
  <c r="L171"/>
  <c r="K171"/>
  <c r="J171"/>
  <c r="G171"/>
  <c r="DG170"/>
  <c r="DA170"/>
  <c r="DB170" s="1"/>
  <c r="DC170" s="1"/>
  <c r="I170"/>
  <c r="DH170" s="1"/>
  <c r="H170"/>
  <c r="I169"/>
  <c r="H169"/>
  <c r="I168"/>
  <c r="DI168" s="1"/>
  <c r="H168"/>
  <c r="I167"/>
  <c r="DI167" s="1"/>
  <c r="H167"/>
  <c r="I166"/>
  <c r="DI166" s="1"/>
  <c r="H166"/>
  <c r="I165"/>
  <c r="DI165" s="1"/>
  <c r="H165"/>
  <c r="I164"/>
  <c r="DI164" s="1"/>
  <c r="H164"/>
  <c r="I163"/>
  <c r="DI163" s="1"/>
  <c r="H163"/>
  <c r="I162"/>
  <c r="DI162" s="1"/>
  <c r="H162"/>
  <c r="I161"/>
  <c r="DI161" s="1"/>
  <c r="H161"/>
  <c r="I160"/>
  <c r="DI160" s="1"/>
  <c r="H160"/>
  <c r="I159"/>
  <c r="DI159" s="1"/>
  <c r="H159"/>
  <c r="I158"/>
  <c r="H158"/>
  <c r="I157"/>
  <c r="CW157" s="1"/>
  <c r="H157"/>
  <c r="DH156"/>
  <c r="CX156"/>
  <c r="I156"/>
  <c r="H156"/>
  <c r="DA155"/>
  <c r="I155"/>
  <c r="H155"/>
  <c r="I154"/>
  <c r="DH154" s="1"/>
  <c r="H154"/>
  <c r="I153"/>
  <c r="H153"/>
  <c r="I152"/>
  <c r="DI152" s="1"/>
  <c r="H152"/>
  <c r="DH151"/>
  <c r="CX151"/>
  <c r="I151"/>
  <c r="H151"/>
  <c r="I150"/>
  <c r="DI150" s="1"/>
  <c r="H150"/>
  <c r="I149"/>
  <c r="H149"/>
  <c r="I148"/>
  <c r="DI148" s="1"/>
  <c r="H148"/>
  <c r="DH147"/>
  <c r="CX147"/>
  <c r="I147"/>
  <c r="H147"/>
  <c r="I146"/>
  <c r="DI146" s="1"/>
  <c r="H146"/>
  <c r="I145"/>
  <c r="H145"/>
  <c r="I144"/>
  <c r="H144"/>
  <c r="DH143"/>
  <c r="CZ143"/>
  <c r="CV143"/>
  <c r="I143"/>
  <c r="H143"/>
  <c r="I142"/>
  <c r="DI142" s="1"/>
  <c r="H142"/>
  <c r="DF141"/>
  <c r="CZ141"/>
  <c r="CV141"/>
  <c r="I141"/>
  <c r="DI141" s="1"/>
  <c r="H141"/>
  <c r="DE140"/>
  <c r="CW140"/>
  <c r="I140"/>
  <c r="DI140" s="1"/>
  <c r="H140"/>
  <c r="I139"/>
  <c r="DH139" s="1"/>
  <c r="H139"/>
  <c r="DD138"/>
  <c r="CV138"/>
  <c r="I138"/>
  <c r="DH138" s="1"/>
  <c r="H138"/>
  <c r="I137"/>
  <c r="DH137" s="1"/>
  <c r="H137"/>
  <c r="I136"/>
  <c r="DH136" s="1"/>
  <c r="H136"/>
  <c r="DI135"/>
  <c r="DE135"/>
  <c r="CY135"/>
  <c r="CU135"/>
  <c r="I135"/>
  <c r="DH135" s="1"/>
  <c r="H135"/>
  <c r="I134"/>
  <c r="DH134" s="1"/>
  <c r="H134"/>
  <c r="DI133"/>
  <c r="DE133"/>
  <c r="CY133"/>
  <c r="CU133"/>
  <c r="I133"/>
  <c r="DH133" s="1"/>
  <c r="H133"/>
  <c r="DG132"/>
  <c r="DA132"/>
  <c r="CW132"/>
  <c r="CS132"/>
  <c r="CM132"/>
  <c r="CN132" s="1"/>
  <c r="CO132" s="1"/>
  <c r="I132"/>
  <c r="DH132" s="1"/>
  <c r="H132"/>
  <c r="DG131"/>
  <c r="DA131"/>
  <c r="CW131"/>
  <c r="CS131"/>
  <c r="CM131"/>
  <c r="CN131" s="1"/>
  <c r="CO131" s="1"/>
  <c r="I131"/>
  <c r="DH131" s="1"/>
  <c r="H131"/>
  <c r="DG130"/>
  <c r="DA130"/>
  <c r="CW130"/>
  <c r="CS130"/>
  <c r="CM130"/>
  <c r="CN130" s="1"/>
  <c r="CO130" s="1"/>
  <c r="I130"/>
  <c r="DH130" s="1"/>
  <c r="H130"/>
  <c r="I129"/>
  <c r="DI129" s="1"/>
  <c r="H129"/>
  <c r="DF128"/>
  <c r="CZ128"/>
  <c r="CV128"/>
  <c r="CR128"/>
  <c r="CL128"/>
  <c r="I128"/>
  <c r="DI128" s="1"/>
  <c r="H128"/>
  <c r="CU127"/>
  <c r="CM127"/>
  <c r="I127"/>
  <c r="CY127" s="1"/>
  <c r="H127"/>
  <c r="DF126"/>
  <c r="CZ126"/>
  <c r="CV126"/>
  <c r="CR126"/>
  <c r="CL126"/>
  <c r="CH126"/>
  <c r="CD126"/>
  <c r="BX126"/>
  <c r="I126"/>
  <c r="DI126" s="1"/>
  <c r="H126"/>
  <c r="CY125"/>
  <c r="CQ125"/>
  <c r="CI125"/>
  <c r="BW125"/>
  <c r="I125"/>
  <c r="DG125" s="1"/>
  <c r="H125"/>
  <c r="I124"/>
  <c r="DI124" s="1"/>
  <c r="H124"/>
  <c r="I123"/>
  <c r="DG123" s="1"/>
  <c r="H123"/>
  <c r="I122"/>
  <c r="DD122" s="1"/>
  <c r="H122"/>
  <c r="I121"/>
  <c r="DH121" s="1"/>
  <c r="H121"/>
  <c r="I120"/>
  <c r="DD120" s="1"/>
  <c r="H120"/>
  <c r="I119"/>
  <c r="DH119" s="1"/>
  <c r="H119"/>
  <c r="DH118"/>
  <c r="CZ118"/>
  <c r="CR118"/>
  <c r="CG118"/>
  <c r="CC118"/>
  <c r="BW118"/>
  <c r="BS118"/>
  <c r="I118"/>
  <c r="DD118" s="1"/>
  <c r="H118"/>
  <c r="I117"/>
  <c r="DH117" s="1"/>
  <c r="H117"/>
  <c r="DI116"/>
  <c r="DE116"/>
  <c r="CY116"/>
  <c r="CU116"/>
  <c r="CQ116"/>
  <c r="CK116"/>
  <c r="CG116"/>
  <c r="CC116"/>
  <c r="BW116"/>
  <c r="BS116"/>
  <c r="I116"/>
  <c r="DH116" s="1"/>
  <c r="H116"/>
  <c r="I115"/>
  <c r="DH115" s="1"/>
  <c r="H115"/>
  <c r="DI114"/>
  <c r="DE114"/>
  <c r="CY114"/>
  <c r="CU114"/>
  <c r="CQ114"/>
  <c r="CK114"/>
  <c r="CG114"/>
  <c r="CC114"/>
  <c r="BW114"/>
  <c r="BS114"/>
  <c r="I114"/>
  <c r="DH114" s="1"/>
  <c r="H114"/>
  <c r="I113"/>
  <c r="DH113" s="1"/>
  <c r="H113"/>
  <c r="DI112"/>
  <c r="DE112"/>
  <c r="CY112"/>
  <c r="CU112"/>
  <c r="CQ112"/>
  <c r="CK112"/>
  <c r="CG112"/>
  <c r="CC112"/>
  <c r="BW112"/>
  <c r="BS112"/>
  <c r="I112"/>
  <c r="DH112" s="1"/>
  <c r="H112"/>
  <c r="I111"/>
  <c r="DH111" s="1"/>
  <c r="H111"/>
  <c r="DI110"/>
  <c r="DE110"/>
  <c r="CY110"/>
  <c r="CU110"/>
  <c r="CQ110"/>
  <c r="CK110"/>
  <c r="CG110"/>
  <c r="CC110"/>
  <c r="BW110"/>
  <c r="BS110"/>
  <c r="BO110"/>
  <c r="I110"/>
  <c r="DH110" s="1"/>
  <c r="H110"/>
  <c r="DG109"/>
  <c r="DA109"/>
  <c r="CW109"/>
  <c r="CS109"/>
  <c r="CM109"/>
  <c r="CI109"/>
  <c r="CE109"/>
  <c r="BY109"/>
  <c r="BU109"/>
  <c r="BQ109"/>
  <c r="BM109"/>
  <c r="I109"/>
  <c r="DH109" s="1"/>
  <c r="H109"/>
  <c r="I108"/>
  <c r="H108"/>
  <c r="DI107"/>
  <c r="CY107"/>
  <c r="CQ107"/>
  <c r="CG107"/>
  <c r="BW107"/>
  <c r="BO107"/>
  <c r="I107"/>
  <c r="H107"/>
  <c r="DI106"/>
  <c r="DE106"/>
  <c r="CY106"/>
  <c r="CU106"/>
  <c r="CQ106"/>
  <c r="CK106"/>
  <c r="CG106"/>
  <c r="CC106"/>
  <c r="BW106"/>
  <c r="BS106"/>
  <c r="BO106"/>
  <c r="BK106"/>
  <c r="BL106" s="1"/>
  <c r="BM106" s="1"/>
  <c r="I106"/>
  <c r="DH106" s="1"/>
  <c r="H106"/>
  <c r="DG105"/>
  <c r="DA105"/>
  <c r="CW105"/>
  <c r="CS105"/>
  <c r="CM105"/>
  <c r="CI105"/>
  <c r="CE105"/>
  <c r="BY105"/>
  <c r="BU105"/>
  <c r="BQ105"/>
  <c r="BK105"/>
  <c r="BL105" s="1"/>
  <c r="BM105" s="1"/>
  <c r="I105"/>
  <c r="DH105" s="1"/>
  <c r="H105"/>
  <c r="DG104"/>
  <c r="CW104"/>
  <c r="CM104"/>
  <c r="CE104"/>
  <c r="BU104"/>
  <c r="I104"/>
  <c r="H104"/>
  <c r="I103"/>
  <c r="H103"/>
  <c r="I102"/>
  <c r="H102"/>
  <c r="DH101"/>
  <c r="CX101"/>
  <c r="CP101"/>
  <c r="CF101"/>
  <c r="BV101"/>
  <c r="BN101"/>
  <c r="I101"/>
  <c r="H101"/>
  <c r="AY100"/>
  <c r="I100"/>
  <c r="H100"/>
  <c r="DD99"/>
  <c r="CV99"/>
  <c r="CJ99"/>
  <c r="CB99"/>
  <c r="BT99"/>
  <c r="BH99"/>
  <c r="AY99"/>
  <c r="I99"/>
  <c r="DH99" s="1"/>
  <c r="H99"/>
  <c r="CP98"/>
  <c r="BV98"/>
  <c r="BF98"/>
  <c r="I98"/>
  <c r="H98"/>
  <c r="DF97"/>
  <c r="CT97"/>
  <c r="CL97"/>
  <c r="CD97"/>
  <c r="BR97"/>
  <c r="BJ97"/>
  <c r="BB97"/>
  <c r="I97"/>
  <c r="CX97" s="1"/>
  <c r="H97"/>
  <c r="CX96"/>
  <c r="CH96"/>
  <c r="BS96"/>
  <c r="BI96"/>
  <c r="BA96"/>
  <c r="I96"/>
  <c r="H96"/>
  <c r="CC95"/>
  <c r="BI95"/>
  <c r="BA95"/>
  <c r="I95"/>
  <c r="H95"/>
  <c r="DE94"/>
  <c r="CU94"/>
  <c r="CK94"/>
  <c r="CC94"/>
  <c r="BS94"/>
  <c r="BI94"/>
  <c r="BA94"/>
  <c r="I94"/>
  <c r="H94"/>
  <c r="DE93"/>
  <c r="CU93"/>
  <c r="CK93"/>
  <c r="CC93"/>
  <c r="BS93"/>
  <c r="BI93"/>
  <c r="BA93"/>
  <c r="I93"/>
  <c r="H93"/>
  <c r="DE92"/>
  <c r="CU92"/>
  <c r="CK92"/>
  <c r="CC92"/>
  <c r="BS92"/>
  <c r="BI92"/>
  <c r="BA92"/>
  <c r="I92"/>
  <c r="H92"/>
  <c r="DG91"/>
  <c r="DA91"/>
  <c r="CW91"/>
  <c r="CS91"/>
  <c r="CM91"/>
  <c r="CI91"/>
  <c r="CE91"/>
  <c r="BY91"/>
  <c r="BU91"/>
  <c r="BQ91"/>
  <c r="BK91"/>
  <c r="BG91"/>
  <c r="BC91"/>
  <c r="AW91"/>
  <c r="AJ91"/>
  <c r="I91"/>
  <c r="DH91" s="1"/>
  <c r="H91"/>
  <c r="DG90"/>
  <c r="DA90"/>
  <c r="CW90"/>
  <c r="CS90"/>
  <c r="CM90"/>
  <c r="CI90"/>
  <c r="CE90"/>
  <c r="BY90"/>
  <c r="BU90"/>
  <c r="BQ90"/>
  <c r="BK90"/>
  <c r="BG90"/>
  <c r="BC90"/>
  <c r="AW90"/>
  <c r="AJ90"/>
  <c r="I90"/>
  <c r="DH90" s="1"/>
  <c r="H90"/>
  <c r="DG89"/>
  <c r="DA89"/>
  <c r="CW89"/>
  <c r="CS89"/>
  <c r="CM89"/>
  <c r="CI89"/>
  <c r="CE89"/>
  <c r="BY89"/>
  <c r="BU89"/>
  <c r="BQ89"/>
  <c r="BK89"/>
  <c r="BG89"/>
  <c r="BC89"/>
  <c r="AW89"/>
  <c r="AJ89"/>
  <c r="I89"/>
  <c r="DH89" s="1"/>
  <c r="H89"/>
  <c r="DG88"/>
  <c r="DA88"/>
  <c r="CW88"/>
  <c r="CS88"/>
  <c r="CM88"/>
  <c r="CI88"/>
  <c r="CE88"/>
  <c r="BY88"/>
  <c r="BU88"/>
  <c r="BQ88"/>
  <c r="BK88"/>
  <c r="BG88"/>
  <c r="BC88"/>
  <c r="AW88"/>
  <c r="AJ88"/>
  <c r="I88"/>
  <c r="DH88" s="1"/>
  <c r="H88"/>
  <c r="DG87"/>
  <c r="DA87"/>
  <c r="CW87"/>
  <c r="CS87"/>
  <c r="CM87"/>
  <c r="CI87"/>
  <c r="CE87"/>
  <c r="BY87"/>
  <c r="BU87"/>
  <c r="BQ87"/>
  <c r="BK87"/>
  <c r="BG87"/>
  <c r="BC87"/>
  <c r="AW87"/>
  <c r="AJ87"/>
  <c r="I87"/>
  <c r="DH87" s="1"/>
  <c r="H87"/>
  <c r="AJ86"/>
  <c r="I86"/>
  <c r="H86"/>
  <c r="AP84"/>
  <c r="AO84"/>
  <c r="AN84"/>
  <c r="AM84"/>
  <c r="AL84"/>
  <c r="AJ84"/>
  <c r="AI84"/>
  <c r="AH84"/>
  <c r="AG84"/>
  <c r="AF84"/>
  <c r="AE84"/>
  <c r="AD84"/>
  <c r="AC84"/>
  <c r="AB84"/>
  <c r="AA84"/>
  <c r="Z84"/>
  <c r="Y84"/>
  <c r="X84"/>
  <c r="W84"/>
  <c r="V84"/>
  <c r="U84"/>
  <c r="T84"/>
  <c r="S84"/>
  <c r="R84"/>
  <c r="Q84"/>
  <c r="P84"/>
  <c r="O84"/>
  <c r="N84"/>
  <c r="M84"/>
  <c r="L84"/>
  <c r="K84"/>
  <c r="J84"/>
  <c r="G84"/>
  <c r="I83"/>
  <c r="DI83" s="1"/>
  <c r="DQ83" s="1"/>
  <c r="DR83" s="1"/>
  <c r="H83"/>
  <c r="DI82"/>
  <c r="DQ82" s="1"/>
  <c r="DR82" s="1"/>
  <c r="I82"/>
  <c r="H82"/>
  <c r="I81"/>
  <c r="DI81" s="1"/>
  <c r="DQ81" s="1"/>
  <c r="DR81" s="1"/>
  <c r="H81"/>
  <c r="I80"/>
  <c r="DI80" s="1"/>
  <c r="H80"/>
  <c r="I79"/>
  <c r="DI79" s="1"/>
  <c r="H79"/>
  <c r="I78"/>
  <c r="DI78" s="1"/>
  <c r="H78"/>
  <c r="I77"/>
  <c r="DH77" s="1"/>
  <c r="H77"/>
  <c r="I76"/>
  <c r="DH76" s="1"/>
  <c r="H76"/>
  <c r="I75"/>
  <c r="DH75" s="1"/>
  <c r="H75"/>
  <c r="I74"/>
  <c r="DH74" s="1"/>
  <c r="H74"/>
  <c r="DH73"/>
  <c r="DD73"/>
  <c r="CX73"/>
  <c r="CT73"/>
  <c r="I73"/>
  <c r="DI73" s="1"/>
  <c r="H73"/>
  <c r="DG72"/>
  <c r="DA72"/>
  <c r="CW72"/>
  <c r="CS72"/>
  <c r="CM72"/>
  <c r="CN72" s="1"/>
  <c r="CO72" s="1"/>
  <c r="I72"/>
  <c r="DH72" s="1"/>
  <c r="H72"/>
  <c r="DG71"/>
  <c r="DA71"/>
  <c r="CW71"/>
  <c r="CS71"/>
  <c r="CM71"/>
  <c r="CN71" s="1"/>
  <c r="CO71" s="1"/>
  <c r="I71"/>
  <c r="DH71" s="1"/>
  <c r="H71"/>
  <c r="DG70"/>
  <c r="DA70"/>
  <c r="CW70"/>
  <c r="CS70"/>
  <c r="CM70"/>
  <c r="CN70" s="1"/>
  <c r="CO70" s="1"/>
  <c r="I70"/>
  <c r="DH70" s="1"/>
  <c r="H70"/>
  <c r="DG69"/>
  <c r="DA69"/>
  <c r="CW69"/>
  <c r="CS69"/>
  <c r="CM69"/>
  <c r="CN69" s="1"/>
  <c r="CO69" s="1"/>
  <c r="I69"/>
  <c r="DH69" s="1"/>
  <c r="H69"/>
  <c r="DG68"/>
  <c r="DA68"/>
  <c r="CW68"/>
  <c r="CS68"/>
  <c r="CM68"/>
  <c r="CN68" s="1"/>
  <c r="CO68" s="1"/>
  <c r="I68"/>
  <c r="DH68" s="1"/>
  <c r="H68"/>
  <c r="DG67"/>
  <c r="DA67"/>
  <c r="CW67"/>
  <c r="CS67"/>
  <c r="CM67"/>
  <c r="CN67" s="1"/>
  <c r="CO67" s="1"/>
  <c r="I67"/>
  <c r="DH67" s="1"/>
  <c r="H67"/>
  <c r="DG66"/>
  <c r="DA66"/>
  <c r="CW66"/>
  <c r="CS66"/>
  <c r="CM66"/>
  <c r="CN66" s="1"/>
  <c r="CO66" s="1"/>
  <c r="I66"/>
  <c r="DH66" s="1"/>
  <c r="H66"/>
  <c r="DG65"/>
  <c r="DA65"/>
  <c r="CW65"/>
  <c r="CS65"/>
  <c r="CM65"/>
  <c r="CN65" s="1"/>
  <c r="CO65" s="1"/>
  <c r="I65"/>
  <c r="DH65" s="1"/>
  <c r="H65"/>
  <c r="DG64"/>
  <c r="DA64"/>
  <c r="CW64"/>
  <c r="CS64"/>
  <c r="CM64"/>
  <c r="CI64"/>
  <c r="I64"/>
  <c r="DH64" s="1"/>
  <c r="H64"/>
  <c r="DG63"/>
  <c r="DA63"/>
  <c r="CW63"/>
  <c r="CS63"/>
  <c r="CM63"/>
  <c r="CI63"/>
  <c r="I63"/>
  <c r="DH63" s="1"/>
  <c r="H63"/>
  <c r="DG62"/>
  <c r="DA62"/>
  <c r="CW62"/>
  <c r="CS62"/>
  <c r="CM62"/>
  <c r="CI62"/>
  <c r="I62"/>
  <c r="DH62" s="1"/>
  <c r="H62"/>
  <c r="DG61"/>
  <c r="DA61"/>
  <c r="CW61"/>
  <c r="CS61"/>
  <c r="CM61"/>
  <c r="CI61"/>
  <c r="I61"/>
  <c r="DH61" s="1"/>
  <c r="H61"/>
  <c r="I60"/>
  <c r="DI60" s="1"/>
  <c r="H60"/>
  <c r="I59"/>
  <c r="DI59" s="1"/>
  <c r="H59"/>
  <c r="I58"/>
  <c r="DI58" s="1"/>
  <c r="H58"/>
  <c r="DH57"/>
  <c r="DD57"/>
  <c r="CX57"/>
  <c r="CT57"/>
  <c r="CP57"/>
  <c r="CJ57"/>
  <c r="CF57"/>
  <c r="I57"/>
  <c r="DI57" s="1"/>
  <c r="H57"/>
  <c r="I56"/>
  <c r="DI56" s="1"/>
  <c r="H56"/>
  <c r="I55"/>
  <c r="DI55" s="1"/>
  <c r="H55"/>
  <c r="I54"/>
  <c r="DI54" s="1"/>
  <c r="H54"/>
  <c r="I53"/>
  <c r="DI53" s="1"/>
  <c r="H53"/>
  <c r="I52"/>
  <c r="DI52" s="1"/>
  <c r="H52"/>
  <c r="I51"/>
  <c r="DH51" s="1"/>
  <c r="H51"/>
  <c r="I50"/>
  <c r="DH50" s="1"/>
  <c r="H50"/>
  <c r="I49"/>
  <c r="DH49" s="1"/>
  <c r="H49"/>
  <c r="I48"/>
  <c r="DH48" s="1"/>
  <c r="H48"/>
  <c r="I47"/>
  <c r="DH47" s="1"/>
  <c r="H47"/>
  <c r="I46"/>
  <c r="DH46" s="1"/>
  <c r="H46"/>
  <c r="I45"/>
  <c r="DH45" s="1"/>
  <c r="H45"/>
  <c r="AY44"/>
  <c r="I44"/>
  <c r="DH44" s="1"/>
  <c r="H44"/>
  <c r="AY43"/>
  <c r="I43"/>
  <c r="DH43" s="1"/>
  <c r="H43"/>
  <c r="AY42"/>
  <c r="I42"/>
  <c r="DH42" s="1"/>
  <c r="H42"/>
  <c r="AY41"/>
  <c r="I41"/>
  <c r="DH41" s="1"/>
  <c r="H41"/>
  <c r="AY40"/>
  <c r="I40"/>
  <c r="DH40" s="1"/>
  <c r="H40"/>
  <c r="I39"/>
  <c r="DH39" s="1"/>
  <c r="H39"/>
  <c r="AK38"/>
  <c r="I38"/>
  <c r="DH38" s="1"/>
  <c r="H38"/>
  <c r="AK37"/>
  <c r="I37"/>
  <c r="CT37" s="1"/>
  <c r="H37"/>
  <c r="DE36"/>
  <c r="CY36"/>
  <c r="CU36"/>
  <c r="CQ36"/>
  <c r="CK36"/>
  <c r="CG36"/>
  <c r="CC36"/>
  <c r="BW36"/>
  <c r="BS36"/>
  <c r="BO36"/>
  <c r="BI36"/>
  <c r="BE36"/>
  <c r="BA36"/>
  <c r="AU36"/>
  <c r="AQ36"/>
  <c r="AK36"/>
  <c r="AJ36"/>
  <c r="I36"/>
  <c r="DH36" s="1"/>
  <c r="H36"/>
  <c r="DD35"/>
  <c r="CV35"/>
  <c r="CJ35"/>
  <c r="CB35"/>
  <c r="BT35"/>
  <c r="BH35"/>
  <c r="AZ35"/>
  <c r="AR35"/>
  <c r="AK35"/>
  <c r="AJ35"/>
  <c r="I35"/>
  <c r="DH35" s="1"/>
  <c r="H35"/>
  <c r="DE34"/>
  <c r="CY34"/>
  <c r="CU34"/>
  <c r="CQ34"/>
  <c r="CK34"/>
  <c r="CG34"/>
  <c r="CC34"/>
  <c r="BW34"/>
  <c r="BS34"/>
  <c r="BO34"/>
  <c r="BI34"/>
  <c r="BE34"/>
  <c r="BA34"/>
  <c r="AU34"/>
  <c r="AQ34"/>
  <c r="AK34"/>
  <c r="AJ34"/>
  <c r="I34"/>
  <c r="DH34" s="1"/>
  <c r="H34"/>
  <c r="AK33"/>
  <c r="AJ33"/>
  <c r="I33"/>
  <c r="DH33" s="1"/>
  <c r="H33"/>
  <c r="H84" s="1"/>
  <c r="AC31"/>
  <c r="AB31"/>
  <c r="AA31"/>
  <c r="Z31"/>
  <c r="Y31"/>
  <c r="X31"/>
  <c r="V31"/>
  <c r="U31"/>
  <c r="T31"/>
  <c r="S31"/>
  <c r="R31"/>
  <c r="Q31"/>
  <c r="P31"/>
  <c r="O31"/>
  <c r="N31"/>
  <c r="M31"/>
  <c r="L31"/>
  <c r="K31"/>
  <c r="J31"/>
  <c r="G31"/>
  <c r="DF30"/>
  <c r="I30"/>
  <c r="DI30" s="1"/>
  <c r="H30"/>
  <c r="DE29"/>
  <c r="CW29"/>
  <c r="CK29"/>
  <c r="I29"/>
  <c r="DI29" s="1"/>
  <c r="H29"/>
  <c r="DF28"/>
  <c r="CZ28"/>
  <c r="CV28"/>
  <c r="CR28"/>
  <c r="CL28"/>
  <c r="CH28"/>
  <c r="CD28"/>
  <c r="BX28"/>
  <c r="BT28"/>
  <c r="I28"/>
  <c r="DI28" s="1"/>
  <c r="H28"/>
  <c r="W27"/>
  <c r="I27"/>
  <c r="DI27" s="1"/>
  <c r="H27"/>
  <c r="DH26"/>
  <c r="CZ26"/>
  <c r="CR26"/>
  <c r="CF26"/>
  <c r="BX26"/>
  <c r="BP26"/>
  <c r="BD26"/>
  <c r="AV26"/>
  <c r="AN26"/>
  <c r="W26"/>
  <c r="W31" s="1"/>
  <c r="I26"/>
  <c r="DD26" s="1"/>
  <c r="H26"/>
  <c r="V24"/>
  <c r="U24"/>
  <c r="T24"/>
  <c r="S24"/>
  <c r="R24"/>
  <c r="Q24"/>
  <c r="P24"/>
  <c r="O24"/>
  <c r="N24"/>
  <c r="M24"/>
  <c r="L24"/>
  <c r="K24"/>
  <c r="J24"/>
  <c r="DI23"/>
  <c r="DE23"/>
  <c r="CY23"/>
  <c r="CU23"/>
  <c r="I23"/>
  <c r="DH23" s="1"/>
  <c r="H23"/>
  <c r="I22"/>
  <c r="DG22" s="1"/>
  <c r="H22"/>
  <c r="DI21"/>
  <c r="DE21"/>
  <c r="CY21"/>
  <c r="CU21"/>
  <c r="CQ21"/>
  <c r="CK21"/>
  <c r="CG21"/>
  <c r="CC21"/>
  <c r="BW21"/>
  <c r="BS21"/>
  <c r="BO21"/>
  <c r="BI21"/>
  <c r="BE21"/>
  <c r="BA21"/>
  <c r="AU21"/>
  <c r="AQ21"/>
  <c r="AM21"/>
  <c r="W21"/>
  <c r="I21"/>
  <c r="DH21" s="1"/>
  <c r="H21"/>
  <c r="DG20"/>
  <c r="DA20"/>
  <c r="CW20"/>
  <c r="CS20"/>
  <c r="CM20"/>
  <c r="CI20"/>
  <c r="CE20"/>
  <c r="BY20"/>
  <c r="BU20"/>
  <c r="BQ20"/>
  <c r="BK20"/>
  <c r="BG20"/>
  <c r="BC20"/>
  <c r="AW20"/>
  <c r="AS20"/>
  <c r="AO20"/>
  <c r="AI20"/>
  <c r="AE20"/>
  <c r="AA20"/>
  <c r="W20"/>
  <c r="I20"/>
  <c r="DH20" s="1"/>
  <c r="H20"/>
  <c r="DG19"/>
  <c r="DA19"/>
  <c r="CW19"/>
  <c r="CS19"/>
  <c r="CM19"/>
  <c r="CI19"/>
  <c r="CE19"/>
  <c r="BY19"/>
  <c r="BU19"/>
  <c r="BQ19"/>
  <c r="BK19"/>
  <c r="BG19"/>
  <c r="BC19"/>
  <c r="AW19"/>
  <c r="AS19"/>
  <c r="AO19"/>
  <c r="AI19"/>
  <c r="AE19"/>
  <c r="AA19"/>
  <c r="W19"/>
  <c r="I19"/>
  <c r="DH19" s="1"/>
  <c r="H19"/>
  <c r="DG18"/>
  <c r="DA18"/>
  <c r="CW18"/>
  <c r="CS18"/>
  <c r="CM18"/>
  <c r="CI18"/>
  <c r="CE18"/>
  <c r="BY18"/>
  <c r="BU18"/>
  <c r="BQ18"/>
  <c r="BK18"/>
  <c r="BG18"/>
  <c r="BC18"/>
  <c r="AW18"/>
  <c r="AS18"/>
  <c r="AO18"/>
  <c r="AI18"/>
  <c r="AE18"/>
  <c r="AA18"/>
  <c r="W18"/>
  <c r="I18"/>
  <c r="DH18" s="1"/>
  <c r="H18"/>
  <c r="DG17"/>
  <c r="DA17"/>
  <c r="CW17"/>
  <c r="CS17"/>
  <c r="CM17"/>
  <c r="CI17"/>
  <c r="CE17"/>
  <c r="BY17"/>
  <c r="BU17"/>
  <c r="BQ17"/>
  <c r="BK17"/>
  <c r="BG17"/>
  <c r="BC17"/>
  <c r="AW17"/>
  <c r="AS17"/>
  <c r="AO17"/>
  <c r="AI17"/>
  <c r="AE17"/>
  <c r="AA17"/>
  <c r="W17"/>
  <c r="I17"/>
  <c r="DH17" s="1"/>
  <c r="H17"/>
  <c r="DG16"/>
  <c r="DA16"/>
  <c r="CW16"/>
  <c r="CS16"/>
  <c r="CM16"/>
  <c r="CI16"/>
  <c r="CE16"/>
  <c r="BY16"/>
  <c r="BU16"/>
  <c r="BQ16"/>
  <c r="BK16"/>
  <c r="BG16"/>
  <c r="BC16"/>
  <c r="AW16"/>
  <c r="AS16"/>
  <c r="AO16"/>
  <c r="AI16"/>
  <c r="AE16"/>
  <c r="AA16"/>
  <c r="W16"/>
  <c r="I16"/>
  <c r="DH16" s="1"/>
  <c r="H16"/>
  <c r="DG15"/>
  <c r="DA15"/>
  <c r="CW15"/>
  <c r="CS15"/>
  <c r="CM15"/>
  <c r="CI15"/>
  <c r="CE15"/>
  <c r="BY15"/>
  <c r="BU15"/>
  <c r="BQ15"/>
  <c r="BK15"/>
  <c r="BG15"/>
  <c r="BC15"/>
  <c r="AW15"/>
  <c r="AS15"/>
  <c r="AO15"/>
  <c r="AI15"/>
  <c r="AE15"/>
  <c r="AA15"/>
  <c r="W15"/>
  <c r="I15"/>
  <c r="DH15" s="1"/>
  <c r="H15"/>
  <c r="DG14"/>
  <c r="DA14"/>
  <c r="CW14"/>
  <c r="CS14"/>
  <c r="CM14"/>
  <c r="CI14"/>
  <c r="CE14"/>
  <c r="BY14"/>
  <c r="BU14"/>
  <c r="BQ14"/>
  <c r="BK14"/>
  <c r="BG14"/>
  <c r="BC14"/>
  <c r="AW14"/>
  <c r="AS14"/>
  <c r="AO14"/>
  <c r="AI14"/>
  <c r="AE14"/>
  <c r="AA14"/>
  <c r="W14"/>
  <c r="I14"/>
  <c r="DH14" s="1"/>
  <c r="H14"/>
  <c r="DG13"/>
  <c r="DA13"/>
  <c r="CW13"/>
  <c r="CS13"/>
  <c r="CM13"/>
  <c r="CI13"/>
  <c r="CE13"/>
  <c r="BY13"/>
  <c r="BU13"/>
  <c r="BQ13"/>
  <c r="BK13"/>
  <c r="BG13"/>
  <c r="BC13"/>
  <c r="AW13"/>
  <c r="AS13"/>
  <c r="AO13"/>
  <c r="AI13"/>
  <c r="AE13"/>
  <c r="AA13"/>
  <c r="W13"/>
  <c r="I13"/>
  <c r="DH13" s="1"/>
  <c r="H13"/>
  <c r="DG12"/>
  <c r="DA12"/>
  <c r="CW12"/>
  <c r="CS12"/>
  <c r="CM12"/>
  <c r="CI12"/>
  <c r="CE12"/>
  <c r="BY12"/>
  <c r="BU12"/>
  <c r="BQ12"/>
  <c r="BK12"/>
  <c r="BG12"/>
  <c r="BC12"/>
  <c r="AW12"/>
  <c r="AS12"/>
  <c r="AO12"/>
  <c r="AI12"/>
  <c r="AE12"/>
  <c r="AA12"/>
  <c r="W12"/>
  <c r="I12"/>
  <c r="DH12" s="1"/>
  <c r="H12"/>
  <c r="DG11"/>
  <c r="DA11"/>
  <c r="CW11"/>
  <c r="CS11"/>
  <c r="CM11"/>
  <c r="CI11"/>
  <c r="CE11"/>
  <c r="BY11"/>
  <c r="BU11"/>
  <c r="BQ11"/>
  <c r="BK11"/>
  <c r="BG11"/>
  <c r="BC11"/>
  <c r="AW11"/>
  <c r="AS11"/>
  <c r="AO11"/>
  <c r="AI11"/>
  <c r="AE11"/>
  <c r="AA11"/>
  <c r="W11"/>
  <c r="I11"/>
  <c r="DH11" s="1"/>
  <c r="H11"/>
  <c r="DG10"/>
  <c r="DA10"/>
  <c r="CW10"/>
  <c r="CS10"/>
  <c r="CM10"/>
  <c r="CI10"/>
  <c r="CE10"/>
  <c r="BY10"/>
  <c r="BU10"/>
  <c r="BQ10"/>
  <c r="BK10"/>
  <c r="BG10"/>
  <c r="BC10"/>
  <c r="AW10"/>
  <c r="AS10"/>
  <c r="AO10"/>
  <c r="AI10"/>
  <c r="AE10"/>
  <c r="AA10"/>
  <c r="W10"/>
  <c r="I10"/>
  <c r="DH10" s="1"/>
  <c r="H10"/>
  <c r="DG9"/>
  <c r="DA9"/>
  <c r="CW9"/>
  <c r="CS9"/>
  <c r="CM9"/>
  <c r="CI9"/>
  <c r="CE9"/>
  <c r="BY9"/>
  <c r="BU9"/>
  <c r="BQ9"/>
  <c r="BK9"/>
  <c r="BG9"/>
  <c r="BC9"/>
  <c r="AW9"/>
  <c r="AS9"/>
  <c r="AO9"/>
  <c r="AI9"/>
  <c r="AE9"/>
  <c r="AA9"/>
  <c r="W9"/>
  <c r="I9"/>
  <c r="DH9" s="1"/>
  <c r="H9"/>
  <c r="W8"/>
  <c r="H8"/>
  <c r="G8"/>
  <c r="W7"/>
  <c r="W24" s="1"/>
  <c r="G7"/>
  <c r="G24" s="1"/>
  <c r="G172" s="1"/>
  <c r="CE22" l="1"/>
  <c r="CM22"/>
  <c r="CS22"/>
  <c r="CW22"/>
  <c r="DA22"/>
  <c r="H31"/>
  <c r="CB53"/>
  <c r="CF53"/>
  <c r="CJ53"/>
  <c r="CP53"/>
  <c r="CT53"/>
  <c r="CX53"/>
  <c r="DD53"/>
  <c r="DH53"/>
  <c r="CH55"/>
  <c r="CL55"/>
  <c r="CR55"/>
  <c r="CV55"/>
  <c r="CZ55"/>
  <c r="DF55"/>
  <c r="CH59"/>
  <c r="CL59"/>
  <c r="CR59"/>
  <c r="CV59"/>
  <c r="CZ59"/>
  <c r="DF59"/>
  <c r="DH79"/>
  <c r="DH103"/>
  <c r="DG103"/>
  <c r="DA103"/>
  <c r="CW103"/>
  <c r="CS103"/>
  <c r="CM103"/>
  <c r="CI103"/>
  <c r="CE103"/>
  <c r="BY103"/>
  <c r="BU103"/>
  <c r="BQ103"/>
  <c r="BK103"/>
  <c r="BL103" s="1"/>
  <c r="BM103" s="1"/>
  <c r="BS103"/>
  <c r="CC103"/>
  <c r="CK103"/>
  <c r="CU103"/>
  <c r="DE103"/>
  <c r="DH108"/>
  <c r="DI108"/>
  <c r="DE108"/>
  <c r="CY108"/>
  <c r="CU108"/>
  <c r="CQ108"/>
  <c r="CK108"/>
  <c r="CG108"/>
  <c r="CC108"/>
  <c r="BW108"/>
  <c r="BS108"/>
  <c r="BO108"/>
  <c r="BK108"/>
  <c r="BL108" s="1"/>
  <c r="BM108" s="1"/>
  <c r="BQ108"/>
  <c r="BY108"/>
  <c r="CI108"/>
  <c r="CS108"/>
  <c r="DA108"/>
  <c r="BY22"/>
  <c r="CI22"/>
  <c r="Y9"/>
  <c r="AC9"/>
  <c r="AG9"/>
  <c r="AM9"/>
  <c r="AQ9"/>
  <c r="AU9"/>
  <c r="BA9"/>
  <c r="BE9"/>
  <c r="BI9"/>
  <c r="BO9"/>
  <c r="BS9"/>
  <c r="BW9"/>
  <c r="CC9"/>
  <c r="CG9"/>
  <c r="CK9"/>
  <c r="CQ9"/>
  <c r="CU9"/>
  <c r="CY9"/>
  <c r="DE9"/>
  <c r="DI9"/>
  <c r="Y10"/>
  <c r="AC10"/>
  <c r="AG10"/>
  <c r="AM10"/>
  <c r="AQ10"/>
  <c r="AU10"/>
  <c r="BA10"/>
  <c r="BE10"/>
  <c r="BI10"/>
  <c r="BO10"/>
  <c r="BS10"/>
  <c r="BW10"/>
  <c r="CC10"/>
  <c r="CG10"/>
  <c r="CK10"/>
  <c r="CQ10"/>
  <c r="CU10"/>
  <c r="CY10"/>
  <c r="DE10"/>
  <c r="DI10"/>
  <c r="Y11"/>
  <c r="AC11"/>
  <c r="AG11"/>
  <c r="AM11"/>
  <c r="AQ11"/>
  <c r="AU11"/>
  <c r="BA11"/>
  <c r="BE11"/>
  <c r="BI11"/>
  <c r="BO11"/>
  <c r="BS11"/>
  <c r="BW11"/>
  <c r="CC11"/>
  <c r="CG11"/>
  <c r="CK11"/>
  <c r="CQ11"/>
  <c r="CU11"/>
  <c r="CY11"/>
  <c r="DE11"/>
  <c r="DI11"/>
  <c r="Y12"/>
  <c r="AC12"/>
  <c r="AG12"/>
  <c r="AM12"/>
  <c r="AQ12"/>
  <c r="AU12"/>
  <c r="BA12"/>
  <c r="BE12"/>
  <c r="BI12"/>
  <c r="BO12"/>
  <c r="BS12"/>
  <c r="BW12"/>
  <c r="CC12"/>
  <c r="CG12"/>
  <c r="CK12"/>
  <c r="CQ12"/>
  <c r="CU12"/>
  <c r="CY12"/>
  <c r="DE12"/>
  <c r="DI12"/>
  <c r="Y13"/>
  <c r="AC13"/>
  <c r="AG13"/>
  <c r="AM13"/>
  <c r="AQ13"/>
  <c r="AU13"/>
  <c r="BA13"/>
  <c r="BE13"/>
  <c r="BI13"/>
  <c r="BO13"/>
  <c r="BS13"/>
  <c r="BW13"/>
  <c r="CC13"/>
  <c r="CG13"/>
  <c r="CK13"/>
  <c r="CQ13"/>
  <c r="CU13"/>
  <c r="CY13"/>
  <c r="DE13"/>
  <c r="DI13"/>
  <c r="Y14"/>
  <c r="AC14"/>
  <c r="AG14"/>
  <c r="AM14"/>
  <c r="AQ14"/>
  <c r="AU14"/>
  <c r="BA14"/>
  <c r="BE14"/>
  <c r="BI14"/>
  <c r="BO14"/>
  <c r="BS14"/>
  <c r="BW14"/>
  <c r="CC14"/>
  <c r="CG14"/>
  <c r="CK14"/>
  <c r="CQ14"/>
  <c r="CU14"/>
  <c r="CY14"/>
  <c r="DE14"/>
  <c r="DI14"/>
  <c r="Y15"/>
  <c r="AC15"/>
  <c r="AG15"/>
  <c r="AM15"/>
  <c r="AQ15"/>
  <c r="AU15"/>
  <c r="BA15"/>
  <c r="BE15"/>
  <c r="BI15"/>
  <c r="BO15"/>
  <c r="BS15"/>
  <c r="BW15"/>
  <c r="CC15"/>
  <c r="CG15"/>
  <c r="CK15"/>
  <c r="CQ15"/>
  <c r="CU15"/>
  <c r="CY15"/>
  <c r="DE15"/>
  <c r="DI15"/>
  <c r="Y16"/>
  <c r="AC16"/>
  <c r="AG16"/>
  <c r="AM16"/>
  <c r="AQ16"/>
  <c r="AU16"/>
  <c r="BA16"/>
  <c r="BE16"/>
  <c r="BI16"/>
  <c r="BO16"/>
  <c r="BS16"/>
  <c r="BW16"/>
  <c r="CC16"/>
  <c r="CG16"/>
  <c r="CK16"/>
  <c r="CQ16"/>
  <c r="CU16"/>
  <c r="CY16"/>
  <c r="DE16"/>
  <c r="DI16"/>
  <c r="Y17"/>
  <c r="AC17"/>
  <c r="AG17"/>
  <c r="AM17"/>
  <c r="AQ17"/>
  <c r="AU17"/>
  <c r="BA17"/>
  <c r="BE17"/>
  <c r="BI17"/>
  <c r="BO17"/>
  <c r="BS17"/>
  <c r="BW17"/>
  <c r="CC17"/>
  <c r="CG17"/>
  <c r="CK17"/>
  <c r="CQ17"/>
  <c r="CU17"/>
  <c r="CY17"/>
  <c r="DE17"/>
  <c r="DI17"/>
  <c r="Y18"/>
  <c r="AC18"/>
  <c r="AG18"/>
  <c r="AM18"/>
  <c r="AQ18"/>
  <c r="AU18"/>
  <c r="BA18"/>
  <c r="BE18"/>
  <c r="BI18"/>
  <c r="BO18"/>
  <c r="BS18"/>
  <c r="BW18"/>
  <c r="CC18"/>
  <c r="CG18"/>
  <c r="CK18"/>
  <c r="CQ18"/>
  <c r="CU18"/>
  <c r="CY18"/>
  <c r="DE18"/>
  <c r="DI18"/>
  <c r="Y19"/>
  <c r="AC19"/>
  <c r="AG19"/>
  <c r="AM19"/>
  <c r="AQ19"/>
  <c r="AU19"/>
  <c r="BA19"/>
  <c r="BE19"/>
  <c r="BI19"/>
  <c r="BO19"/>
  <c r="BS19"/>
  <c r="BW19"/>
  <c r="CC19"/>
  <c r="CG19"/>
  <c r="CK19"/>
  <c r="CQ19"/>
  <c r="CU19"/>
  <c r="CY19"/>
  <c r="DE19"/>
  <c r="DI19"/>
  <c r="Y20"/>
  <c r="AC20"/>
  <c r="AG20"/>
  <c r="AM20"/>
  <c r="AQ20"/>
  <c r="AU20"/>
  <c r="BA20"/>
  <c r="BE20"/>
  <c r="BI20"/>
  <c r="BO20"/>
  <c r="BS20"/>
  <c r="BW20"/>
  <c r="CC20"/>
  <c r="CG20"/>
  <c r="CK20"/>
  <c r="CQ20"/>
  <c r="CU20"/>
  <c r="CY20"/>
  <c r="DE20"/>
  <c r="DI20"/>
  <c r="AI21"/>
  <c r="AO21"/>
  <c r="AS21"/>
  <c r="AW21"/>
  <c r="BC21"/>
  <c r="BG21"/>
  <c r="BK21"/>
  <c r="BQ21"/>
  <c r="BU21"/>
  <c r="BY21"/>
  <c r="CE21"/>
  <c r="CI21"/>
  <c r="CM21"/>
  <c r="CS21"/>
  <c r="CW21"/>
  <c r="DA21"/>
  <c r="DG21"/>
  <c r="BW22"/>
  <c r="CC22"/>
  <c r="CG22"/>
  <c r="CK22"/>
  <c r="CQ22"/>
  <c r="CU22"/>
  <c r="CY22"/>
  <c r="CW23"/>
  <c r="DA23"/>
  <c r="DG23"/>
  <c r="AF26"/>
  <c r="AF31" s="1"/>
  <c r="AR26"/>
  <c r="AZ26"/>
  <c r="BH26"/>
  <c r="BT26"/>
  <c r="CB26"/>
  <c r="CJ26"/>
  <c r="CV26"/>
  <c r="BV28"/>
  <c r="CB28"/>
  <c r="CF28"/>
  <c r="CJ28"/>
  <c r="CP28"/>
  <c r="CT28"/>
  <c r="CX28"/>
  <c r="DD28"/>
  <c r="DH28"/>
  <c r="CS29"/>
  <c r="DA29"/>
  <c r="DH30"/>
  <c r="AS34"/>
  <c r="AW34"/>
  <c r="BC34"/>
  <c r="BG34"/>
  <c r="BK34"/>
  <c r="BQ34"/>
  <c r="BU34"/>
  <c r="BY34"/>
  <c r="CE34"/>
  <c r="CI34"/>
  <c r="CM34"/>
  <c r="CS34"/>
  <c r="CW34"/>
  <c r="DA34"/>
  <c r="DG34"/>
  <c r="AV35"/>
  <c r="BD35"/>
  <c r="BP35"/>
  <c r="BX35"/>
  <c r="CF35"/>
  <c r="CR35"/>
  <c r="CZ35"/>
  <c r="AS36"/>
  <c r="AW36"/>
  <c r="BC36"/>
  <c r="BG36"/>
  <c r="BK36"/>
  <c r="BQ36"/>
  <c r="BU36"/>
  <c r="BY36"/>
  <c r="CE36"/>
  <c r="CI36"/>
  <c r="CM36"/>
  <c r="CS36"/>
  <c r="CW36"/>
  <c r="DA36"/>
  <c r="DG36"/>
  <c r="BX53"/>
  <c r="CD53"/>
  <c r="CH53"/>
  <c r="CL53"/>
  <c r="CR53"/>
  <c r="CV53"/>
  <c r="CZ53"/>
  <c r="DF53"/>
  <c r="CF55"/>
  <c r="CJ55"/>
  <c r="CP55"/>
  <c r="CT55"/>
  <c r="CX55"/>
  <c r="DD55"/>
  <c r="DH55"/>
  <c r="CH57"/>
  <c r="CL57"/>
  <c r="CR57"/>
  <c r="CV57"/>
  <c r="CZ57"/>
  <c r="DF57"/>
  <c r="CF59"/>
  <c r="CJ59"/>
  <c r="CP59"/>
  <c r="CT59"/>
  <c r="CX59"/>
  <c r="DD59"/>
  <c r="DH59"/>
  <c r="CK61"/>
  <c r="CQ61"/>
  <c r="CU61"/>
  <c r="CY61"/>
  <c r="DE61"/>
  <c r="DI61"/>
  <c r="CK62"/>
  <c r="CQ62"/>
  <c r="CU62"/>
  <c r="CY62"/>
  <c r="DE62"/>
  <c r="DI62"/>
  <c r="CK63"/>
  <c r="CQ63"/>
  <c r="CU63"/>
  <c r="CY63"/>
  <c r="DE63"/>
  <c r="DI63"/>
  <c r="CK64"/>
  <c r="CQ64"/>
  <c r="CU64"/>
  <c r="CY64"/>
  <c r="DE64"/>
  <c r="DI64"/>
  <c r="CQ65"/>
  <c r="CU65"/>
  <c r="CY65"/>
  <c r="DE65"/>
  <c r="DI65"/>
  <c r="CQ66"/>
  <c r="CU66"/>
  <c r="CY66"/>
  <c r="DE66"/>
  <c r="DI66"/>
  <c r="CQ67"/>
  <c r="CU67"/>
  <c r="CY67"/>
  <c r="DE67"/>
  <c r="DI67"/>
  <c r="CQ68"/>
  <c r="CU68"/>
  <c r="CY68"/>
  <c r="DE68"/>
  <c r="DI68"/>
  <c r="CQ69"/>
  <c r="CU69"/>
  <c r="CY69"/>
  <c r="DE69"/>
  <c r="DI69"/>
  <c r="CQ70"/>
  <c r="CU70"/>
  <c r="CY70"/>
  <c r="DE70"/>
  <c r="DI70"/>
  <c r="CQ71"/>
  <c r="CU71"/>
  <c r="CY71"/>
  <c r="DE71"/>
  <c r="DI71"/>
  <c r="CQ72"/>
  <c r="CU72"/>
  <c r="CY72"/>
  <c r="DE72"/>
  <c r="DI72"/>
  <c r="CV73"/>
  <c r="CZ73"/>
  <c r="DF73"/>
  <c r="DF79"/>
  <c r="AU87"/>
  <c r="BA87"/>
  <c r="BE87"/>
  <c r="BI87"/>
  <c r="BO87"/>
  <c r="BS87"/>
  <c r="BW87"/>
  <c r="CC87"/>
  <c r="CG87"/>
  <c r="CK87"/>
  <c r="CQ87"/>
  <c r="CU87"/>
  <c r="CY87"/>
  <c r="DE87"/>
  <c r="DI87"/>
  <c r="AU88"/>
  <c r="BA88"/>
  <c r="BE88"/>
  <c r="BI88"/>
  <c r="BO88"/>
  <c r="BS88"/>
  <c r="BW88"/>
  <c r="CC88"/>
  <c r="CG88"/>
  <c r="CK88"/>
  <c r="CQ88"/>
  <c r="CU88"/>
  <c r="CY88"/>
  <c r="DE88"/>
  <c r="DI88"/>
  <c r="AU89"/>
  <c r="BA89"/>
  <c r="BE89"/>
  <c r="BI89"/>
  <c r="BO89"/>
  <c r="BS89"/>
  <c r="BW89"/>
  <c r="CC89"/>
  <c r="CG89"/>
  <c r="CK89"/>
  <c r="CQ89"/>
  <c r="CU89"/>
  <c r="CY89"/>
  <c r="DE89"/>
  <c r="DI89"/>
  <c r="AU90"/>
  <c r="BA90"/>
  <c r="BE90"/>
  <c r="BI90"/>
  <c r="BO90"/>
  <c r="BS90"/>
  <c r="BW90"/>
  <c r="CC90"/>
  <c r="CG90"/>
  <c r="CK90"/>
  <c r="CQ90"/>
  <c r="CU90"/>
  <c r="CY90"/>
  <c r="DE90"/>
  <c r="DI90"/>
  <c r="AU91"/>
  <c r="BA91"/>
  <c r="BE91"/>
  <c r="BI91"/>
  <c r="BO91"/>
  <c r="BS91"/>
  <c r="BW91"/>
  <c r="CC91"/>
  <c r="CG91"/>
  <c r="CK91"/>
  <c r="CQ91"/>
  <c r="CU91"/>
  <c r="CY91"/>
  <c r="DE91"/>
  <c r="DI91"/>
  <c r="DH92"/>
  <c r="DG92"/>
  <c r="DA92"/>
  <c r="CW92"/>
  <c r="CS92"/>
  <c r="CM92"/>
  <c r="CI92"/>
  <c r="CE92"/>
  <c r="BY92"/>
  <c r="BU92"/>
  <c r="BQ92"/>
  <c r="BK92"/>
  <c r="BG92"/>
  <c r="BC92"/>
  <c r="AW92"/>
  <c r="AX92" s="1"/>
  <c r="BE92"/>
  <c r="BO92"/>
  <c r="BW92"/>
  <c r="CG92"/>
  <c r="CQ92"/>
  <c r="CY92"/>
  <c r="DI92"/>
  <c r="DH93"/>
  <c r="DG93"/>
  <c r="DA93"/>
  <c r="CW93"/>
  <c r="CS93"/>
  <c r="CM93"/>
  <c r="CI93"/>
  <c r="CE93"/>
  <c r="BY93"/>
  <c r="BU93"/>
  <c r="BQ93"/>
  <c r="BK93"/>
  <c r="BG93"/>
  <c r="BC93"/>
  <c r="AW93"/>
  <c r="AX93" s="1"/>
  <c r="BE93"/>
  <c r="BO93"/>
  <c r="BW93"/>
  <c r="CG93"/>
  <c r="CQ93"/>
  <c r="CY93"/>
  <c r="DI93"/>
  <c r="DH94"/>
  <c r="DG94"/>
  <c r="DA94"/>
  <c r="CW94"/>
  <c r="CS94"/>
  <c r="CM94"/>
  <c r="CI94"/>
  <c r="CE94"/>
  <c r="BY94"/>
  <c r="BU94"/>
  <c r="BQ94"/>
  <c r="BK94"/>
  <c r="BG94"/>
  <c r="BC94"/>
  <c r="AW94"/>
  <c r="AX94" s="1"/>
  <c r="BE94"/>
  <c r="BO94"/>
  <c r="BW94"/>
  <c r="CG94"/>
  <c r="CQ94"/>
  <c r="CY94"/>
  <c r="DI94"/>
  <c r="DI95"/>
  <c r="CG95"/>
  <c r="BY95"/>
  <c r="BQ95"/>
  <c r="BG95"/>
  <c r="BC95"/>
  <c r="AW95"/>
  <c r="AX95" s="1"/>
  <c r="BE95"/>
  <c r="BU95"/>
  <c r="CK95"/>
  <c r="DF96"/>
  <c r="CT96"/>
  <c r="CL96"/>
  <c r="CD96"/>
  <c r="BU96"/>
  <c r="BQ96"/>
  <c r="BK96"/>
  <c r="BG96"/>
  <c r="BC96"/>
  <c r="AW96"/>
  <c r="AX96" s="1"/>
  <c r="BE96"/>
  <c r="BO96"/>
  <c r="BW96"/>
  <c r="CP96"/>
  <c r="DF98"/>
  <c r="CT98"/>
  <c r="CL98"/>
  <c r="CD98"/>
  <c r="BR98"/>
  <c r="BJ98"/>
  <c r="BB98"/>
  <c r="BN98"/>
  <c r="CH98"/>
  <c r="CX98"/>
  <c r="DI101"/>
  <c r="DF101"/>
  <c r="CZ101"/>
  <c r="CV101"/>
  <c r="CR101"/>
  <c r="CL101"/>
  <c r="CH101"/>
  <c r="CD101"/>
  <c r="BX101"/>
  <c r="BT101"/>
  <c r="BP101"/>
  <c r="BJ101"/>
  <c r="BR101"/>
  <c r="CB101"/>
  <c r="CJ101"/>
  <c r="CT101"/>
  <c r="DD101"/>
  <c r="BO103"/>
  <c r="BW103"/>
  <c r="CG103"/>
  <c r="CQ103"/>
  <c r="CY103"/>
  <c r="DI103"/>
  <c r="DH104"/>
  <c r="DI104"/>
  <c r="DE104"/>
  <c r="CY104"/>
  <c r="CU104"/>
  <c r="CQ104"/>
  <c r="CK104"/>
  <c r="CG104"/>
  <c r="CC104"/>
  <c r="BW104"/>
  <c r="BS104"/>
  <c r="BO104"/>
  <c r="BK104"/>
  <c r="BL104" s="1"/>
  <c r="BM104" s="1"/>
  <c r="BQ104"/>
  <c r="BY104"/>
  <c r="CI104"/>
  <c r="CS104"/>
  <c r="DA104"/>
  <c r="DH107"/>
  <c r="DG107"/>
  <c r="DA107"/>
  <c r="CW107"/>
  <c r="CS107"/>
  <c r="CM107"/>
  <c r="CI107"/>
  <c r="CE107"/>
  <c r="BY107"/>
  <c r="BU107"/>
  <c r="BQ107"/>
  <c r="BK107"/>
  <c r="BL107" s="1"/>
  <c r="BM107" s="1"/>
  <c r="BS107"/>
  <c r="CC107"/>
  <c r="CK107"/>
  <c r="CU107"/>
  <c r="DE107"/>
  <c r="BU108"/>
  <c r="CE108"/>
  <c r="CM108"/>
  <c r="CW108"/>
  <c r="DG108"/>
  <c r="BU111"/>
  <c r="BY111"/>
  <c r="CE111"/>
  <c r="CI111"/>
  <c r="CM111"/>
  <c r="CS111"/>
  <c r="CW111"/>
  <c r="DA111"/>
  <c r="DG111"/>
  <c r="BU113"/>
  <c r="BY113"/>
  <c r="CE113"/>
  <c r="CI113"/>
  <c r="CM113"/>
  <c r="CS113"/>
  <c r="CW113"/>
  <c r="DA113"/>
  <c r="DG113"/>
  <c r="BU115"/>
  <c r="BY115"/>
  <c r="CE115"/>
  <c r="CI115"/>
  <c r="CM115"/>
  <c r="CS115"/>
  <c r="CW115"/>
  <c r="DA115"/>
  <c r="DG115"/>
  <c r="BU117"/>
  <c r="BY117"/>
  <c r="CE117"/>
  <c r="CI117"/>
  <c r="CM117"/>
  <c r="CS117"/>
  <c r="CW117"/>
  <c r="DA117"/>
  <c r="DG117"/>
  <c r="BX120"/>
  <c r="CF120"/>
  <c r="CR120"/>
  <c r="CZ120"/>
  <c r="DH120"/>
  <c r="BX122"/>
  <c r="CF122"/>
  <c r="CR122"/>
  <c r="CZ122"/>
  <c r="DH122"/>
  <c r="BX124"/>
  <c r="CD124"/>
  <c r="CH124"/>
  <c r="CL124"/>
  <c r="CR124"/>
  <c r="CV124"/>
  <c r="CZ124"/>
  <c r="DF124"/>
  <c r="CW134"/>
  <c r="DA134"/>
  <c r="DG134"/>
  <c r="CW136"/>
  <c r="DD136"/>
  <c r="DE144"/>
  <c r="CW144"/>
  <c r="DI144"/>
  <c r="DI145"/>
  <c r="DF145"/>
  <c r="CZ145"/>
  <c r="CV145"/>
  <c r="DD145"/>
  <c r="DI149"/>
  <c r="DF149"/>
  <c r="CZ149"/>
  <c r="CV149"/>
  <c r="DD149"/>
  <c r="DI153"/>
  <c r="DF153"/>
  <c r="CZ153"/>
  <c r="CV153"/>
  <c r="DD153"/>
  <c r="DI158"/>
  <c r="DF158"/>
  <c r="CZ158"/>
  <c r="CV158"/>
  <c r="DD158"/>
  <c r="BF97"/>
  <c r="BN97"/>
  <c r="BV97"/>
  <c r="CH97"/>
  <c r="CP97"/>
  <c r="BD99"/>
  <c r="BP99"/>
  <c r="BX99"/>
  <c r="CF99"/>
  <c r="CR99"/>
  <c r="CZ99"/>
  <c r="BO105"/>
  <c r="BS105"/>
  <c r="BW105"/>
  <c r="CC105"/>
  <c r="CG105"/>
  <c r="CK105"/>
  <c r="CQ105"/>
  <c r="CU105"/>
  <c r="CY105"/>
  <c r="DE105"/>
  <c r="DI105"/>
  <c r="BQ106"/>
  <c r="BU106"/>
  <c r="BY106"/>
  <c r="CE106"/>
  <c r="CI106"/>
  <c r="CM106"/>
  <c r="CS106"/>
  <c r="CW106"/>
  <c r="DA106"/>
  <c r="DG106"/>
  <c r="BO109"/>
  <c r="BS109"/>
  <c r="BW109"/>
  <c r="CC109"/>
  <c r="CG109"/>
  <c r="CK109"/>
  <c r="CQ109"/>
  <c r="CU109"/>
  <c r="CY109"/>
  <c r="DE109"/>
  <c r="DI109"/>
  <c r="BQ110"/>
  <c r="BU110"/>
  <c r="BY110"/>
  <c r="CE110"/>
  <c r="CI110"/>
  <c r="CM110"/>
  <c r="CS110"/>
  <c r="CW110"/>
  <c r="DA110"/>
  <c r="DG110"/>
  <c r="BS111"/>
  <c r="BW111"/>
  <c r="CC111"/>
  <c r="CG111"/>
  <c r="CK111"/>
  <c r="CQ111"/>
  <c r="CU111"/>
  <c r="CY111"/>
  <c r="DE111"/>
  <c r="DI111"/>
  <c r="BU112"/>
  <c r="BY112"/>
  <c r="CE112"/>
  <c r="CI112"/>
  <c r="CM112"/>
  <c r="CS112"/>
  <c r="CW112"/>
  <c r="DA112"/>
  <c r="DG112"/>
  <c r="BS113"/>
  <c r="BW113"/>
  <c r="CC113"/>
  <c r="CG113"/>
  <c r="CK113"/>
  <c r="CQ113"/>
  <c r="CU113"/>
  <c r="CY113"/>
  <c r="DE113"/>
  <c r="DI113"/>
  <c r="BU114"/>
  <c r="BY114"/>
  <c r="CE114"/>
  <c r="CI114"/>
  <c r="CM114"/>
  <c r="CS114"/>
  <c r="CW114"/>
  <c r="DA114"/>
  <c r="DG114"/>
  <c r="BS115"/>
  <c r="BW115"/>
  <c r="CC115"/>
  <c r="CG115"/>
  <c r="CK115"/>
  <c r="CQ115"/>
  <c r="CU115"/>
  <c r="CY115"/>
  <c r="DE115"/>
  <c r="DI115"/>
  <c r="BU116"/>
  <c r="BY116"/>
  <c r="CE116"/>
  <c r="CI116"/>
  <c r="CM116"/>
  <c r="CS116"/>
  <c r="CW116"/>
  <c r="DA116"/>
  <c r="DG116"/>
  <c r="BS117"/>
  <c r="BW117"/>
  <c r="CC117"/>
  <c r="CG117"/>
  <c r="CK117"/>
  <c r="CQ117"/>
  <c r="CU117"/>
  <c r="CY117"/>
  <c r="DE117"/>
  <c r="DI117"/>
  <c r="BU118"/>
  <c r="BY118"/>
  <c r="CE118"/>
  <c r="CJ118"/>
  <c r="CV118"/>
  <c r="BT120"/>
  <c r="CB120"/>
  <c r="CJ120"/>
  <c r="CV120"/>
  <c r="BT122"/>
  <c r="CB122"/>
  <c r="CJ122"/>
  <c r="CV122"/>
  <c r="BV124"/>
  <c r="CB124"/>
  <c r="CF124"/>
  <c r="CJ124"/>
  <c r="CP124"/>
  <c r="CT124"/>
  <c r="CX124"/>
  <c r="DD124"/>
  <c r="DH124"/>
  <c r="CE125"/>
  <c r="CM125"/>
  <c r="CU125"/>
  <c r="CB126"/>
  <c r="CF126"/>
  <c r="CJ126"/>
  <c r="CP126"/>
  <c r="CT126"/>
  <c r="CX126"/>
  <c r="DD126"/>
  <c r="DH126"/>
  <c r="CQ127"/>
  <c r="CP128"/>
  <c r="CT128"/>
  <c r="CX128"/>
  <c r="DD128"/>
  <c r="DH128"/>
  <c r="CQ130"/>
  <c r="CU130"/>
  <c r="CY130"/>
  <c r="DE130"/>
  <c r="DI130"/>
  <c r="CQ131"/>
  <c r="CU131"/>
  <c r="CY131"/>
  <c r="DE131"/>
  <c r="DI131"/>
  <c r="CQ132"/>
  <c r="CU132"/>
  <c r="CY132"/>
  <c r="DE132"/>
  <c r="DI132"/>
  <c r="CW133"/>
  <c r="DA133"/>
  <c r="DG133"/>
  <c r="CU134"/>
  <c r="CY134"/>
  <c r="DE134"/>
  <c r="DI134"/>
  <c r="CW135"/>
  <c r="DA135"/>
  <c r="DG135"/>
  <c r="CU136"/>
  <c r="CZ136"/>
  <c r="CZ138"/>
  <c r="DA140"/>
  <c r="CX141"/>
  <c r="DD141"/>
  <c r="DH141"/>
  <c r="DI143"/>
  <c r="DF143"/>
  <c r="CX143"/>
  <c r="DD143"/>
  <c r="DA144"/>
  <c r="CX145"/>
  <c r="DH145"/>
  <c r="DI147"/>
  <c r="DF147"/>
  <c r="CZ147"/>
  <c r="CV147"/>
  <c r="DD147"/>
  <c r="CX149"/>
  <c r="DH149"/>
  <c r="DI151"/>
  <c r="DF151"/>
  <c r="CZ151"/>
  <c r="CV151"/>
  <c r="DD151"/>
  <c r="CX153"/>
  <c r="DH153"/>
  <c r="DE155"/>
  <c r="CW155"/>
  <c r="DI155"/>
  <c r="DI156"/>
  <c r="DF156"/>
  <c r="CZ156"/>
  <c r="CV156"/>
  <c r="DD156"/>
  <c r="CX158"/>
  <c r="DH158"/>
  <c r="CX168"/>
  <c r="DD168"/>
  <c r="DH168"/>
  <c r="DE170"/>
  <c r="DI170"/>
  <c r="Y71" i="2"/>
  <c r="AC71"/>
  <c r="AG71"/>
  <c r="CY77"/>
  <c r="CZ77"/>
  <c r="CV77"/>
  <c r="CR77"/>
  <c r="CL77"/>
  <c r="AN77"/>
  <c r="AR77"/>
  <c r="AV77"/>
  <c r="BB77"/>
  <c r="BF77"/>
  <c r="BJ77"/>
  <c r="BP77"/>
  <c r="BT77"/>
  <c r="BX77"/>
  <c r="CD77"/>
  <c r="CH77"/>
  <c r="CP77"/>
  <c r="CX77"/>
  <c r="CY83"/>
  <c r="CQ83"/>
  <c r="CJ83"/>
  <c r="CF83"/>
  <c r="CB83"/>
  <c r="BV83"/>
  <c r="BR83"/>
  <c r="BN83"/>
  <c r="BH83"/>
  <c r="BD83"/>
  <c r="AZ83"/>
  <c r="AT83"/>
  <c r="AP83"/>
  <c r="AN83"/>
  <c r="AV83"/>
  <c r="BF83"/>
  <c r="BP83"/>
  <c r="BX83"/>
  <c r="CH83"/>
  <c r="CU83"/>
  <c r="CY87"/>
  <c r="CX87"/>
  <c r="CT87"/>
  <c r="CP87"/>
  <c r="CJ87"/>
  <c r="CF87"/>
  <c r="CB87"/>
  <c r="BV87"/>
  <c r="BR87"/>
  <c r="BN87"/>
  <c r="BH87"/>
  <c r="BD87"/>
  <c r="AZ87"/>
  <c r="AT87"/>
  <c r="AP87"/>
  <c r="AN87"/>
  <c r="AV87"/>
  <c r="BF87"/>
  <c r="BP87"/>
  <c r="BX87"/>
  <c r="CH87"/>
  <c r="CR87"/>
  <c r="CZ87"/>
  <c r="CY88"/>
  <c r="BS88"/>
  <c r="BK88"/>
  <c r="BC88"/>
  <c r="AQ88"/>
  <c r="AM88"/>
  <c r="BG88"/>
  <c r="BW88"/>
  <c r="CY89"/>
  <c r="CX89"/>
  <c r="CT89"/>
  <c r="CP89"/>
  <c r="CJ89"/>
  <c r="CF89"/>
  <c r="CB89"/>
  <c r="BV89"/>
  <c r="BR89"/>
  <c r="BN89"/>
  <c r="BH89"/>
  <c r="BD89"/>
  <c r="AZ89"/>
  <c r="AT89"/>
  <c r="AP89"/>
  <c r="AN89"/>
  <c r="AV89"/>
  <c r="BF89"/>
  <c r="BP89"/>
  <c r="BX89"/>
  <c r="CH89"/>
  <c r="CR89"/>
  <c r="CZ89"/>
  <c r="AK197"/>
  <c r="AL133"/>
  <c r="AF139"/>
  <c r="AE139"/>
  <c r="AA139"/>
  <c r="Y139"/>
  <c r="AG139"/>
  <c r="AH177"/>
  <c r="AG177"/>
  <c r="AE177"/>
  <c r="AA177"/>
  <c r="Y177"/>
  <c r="AI177"/>
  <c r="CU178"/>
  <c r="CM178"/>
  <c r="CE178"/>
  <c r="BS178"/>
  <c r="BK178"/>
  <c r="BC178"/>
  <c r="AQ178"/>
  <c r="AF178"/>
  <c r="CQ178"/>
  <c r="BW178"/>
  <c r="BG178"/>
  <c r="AM178"/>
  <c r="BO178"/>
  <c r="CY193"/>
  <c r="CX193"/>
  <c r="CT193"/>
  <c r="CP193"/>
  <c r="CJ193"/>
  <c r="CF193"/>
  <c r="CB193"/>
  <c r="BV193"/>
  <c r="BR193"/>
  <c r="BN193"/>
  <c r="BH193"/>
  <c r="BD193"/>
  <c r="AZ193"/>
  <c r="AT193"/>
  <c r="AP193"/>
  <c r="CV193"/>
  <c r="CL193"/>
  <c r="CD193"/>
  <c r="BT193"/>
  <c r="BJ193"/>
  <c r="BB193"/>
  <c r="AR193"/>
  <c r="AN193"/>
  <c r="BF193"/>
  <c r="BX193"/>
  <c r="CR193"/>
  <c r="CZ168" i="1"/>
  <c r="DF168"/>
  <c r="AL25" i="2"/>
  <c r="J201"/>
  <c r="R201"/>
  <c r="T201"/>
  <c r="V201"/>
  <c r="H28"/>
  <c r="Y35"/>
  <c r="AC35"/>
  <c r="AG35"/>
  <c r="Y36"/>
  <c r="AC36"/>
  <c r="AG36"/>
  <c r="Z37"/>
  <c r="AD37"/>
  <c r="AH37"/>
  <c r="H45"/>
  <c r="AA71"/>
  <c r="AE71"/>
  <c r="AI71"/>
  <c r="Y73"/>
  <c r="AC73"/>
  <c r="AG73"/>
  <c r="AN75"/>
  <c r="AR75"/>
  <c r="AV75"/>
  <c r="BB75"/>
  <c r="BF75"/>
  <c r="BJ75"/>
  <c r="BP75"/>
  <c r="BT75"/>
  <c r="BX75"/>
  <c r="CD75"/>
  <c r="CH75"/>
  <c r="CL75"/>
  <c r="CR75"/>
  <c r="CV75"/>
  <c r="CZ75"/>
  <c r="AP77"/>
  <c r="AT77"/>
  <c r="AZ77"/>
  <c r="BD77"/>
  <c r="BH77"/>
  <c r="BN77"/>
  <c r="BR77"/>
  <c r="BV77"/>
  <c r="CB77"/>
  <c r="CF77"/>
  <c r="CJ77"/>
  <c r="CT77"/>
  <c r="CY79"/>
  <c r="CX79"/>
  <c r="CT79"/>
  <c r="CP79"/>
  <c r="CJ79"/>
  <c r="CF79"/>
  <c r="CB79"/>
  <c r="BV79"/>
  <c r="BR79"/>
  <c r="BN79"/>
  <c r="BH79"/>
  <c r="BD79"/>
  <c r="AZ79"/>
  <c r="AT79"/>
  <c r="AP79"/>
  <c r="AN79"/>
  <c r="AV79"/>
  <c r="BF79"/>
  <c r="BP79"/>
  <c r="BX79"/>
  <c r="CH79"/>
  <c r="CR79"/>
  <c r="CZ79"/>
  <c r="AR83"/>
  <c r="BB83"/>
  <c r="BJ83"/>
  <c r="BT83"/>
  <c r="CD83"/>
  <c r="CM83"/>
  <c r="CU86"/>
  <c r="CM86"/>
  <c r="CE86"/>
  <c r="BS86"/>
  <c r="BK86"/>
  <c r="BC86"/>
  <c r="AQ86"/>
  <c r="AM86"/>
  <c r="BG86"/>
  <c r="BW86"/>
  <c r="CQ86"/>
  <c r="AR87"/>
  <c r="BB87"/>
  <c r="BJ87"/>
  <c r="BT87"/>
  <c r="CD87"/>
  <c r="CL87"/>
  <c r="CV87"/>
  <c r="AU88"/>
  <c r="BO88"/>
  <c r="AR89"/>
  <c r="BB89"/>
  <c r="BJ89"/>
  <c r="BT89"/>
  <c r="CD89"/>
  <c r="CL89"/>
  <c r="CV89"/>
  <c r="AF137"/>
  <c r="AE137"/>
  <c r="AA137"/>
  <c r="Y137"/>
  <c r="AG137"/>
  <c r="AC139"/>
  <c r="Y141"/>
  <c r="AH157"/>
  <c r="AE157"/>
  <c r="AA157"/>
  <c r="Y157"/>
  <c r="AG157"/>
  <c r="AH158"/>
  <c r="AE158"/>
  <c r="AA158"/>
  <c r="Y158"/>
  <c r="AG158"/>
  <c r="AH159"/>
  <c r="AE159"/>
  <c r="AA159"/>
  <c r="Y159"/>
  <c r="AG159"/>
  <c r="AH160"/>
  <c r="AE160"/>
  <c r="AA160"/>
  <c r="Y160"/>
  <c r="AG160"/>
  <c r="AH161"/>
  <c r="AE161"/>
  <c r="AA161"/>
  <c r="Y161"/>
  <c r="AG161"/>
  <c r="AH162"/>
  <c r="AE162"/>
  <c r="AA162"/>
  <c r="Y162"/>
  <c r="AG162"/>
  <c r="AH163"/>
  <c r="AE163"/>
  <c r="AA163"/>
  <c r="Y163"/>
  <c r="AG163"/>
  <c r="AH164"/>
  <c r="AE164"/>
  <c r="AA164"/>
  <c r="Y164"/>
  <c r="AG164"/>
  <c r="AH165"/>
  <c r="AE165"/>
  <c r="AA165"/>
  <c r="Y165"/>
  <c r="AG165"/>
  <c r="AH166"/>
  <c r="AE166"/>
  <c r="AA166"/>
  <c r="Y166"/>
  <c r="AG166"/>
  <c r="AH167"/>
  <c r="AE167"/>
  <c r="AA167"/>
  <c r="Y167"/>
  <c r="AG167"/>
  <c r="Z176"/>
  <c r="AC177"/>
  <c r="AU178"/>
  <c r="CI178"/>
  <c r="AV193"/>
  <c r="BP193"/>
  <c r="CH193"/>
  <c r="CZ193"/>
  <c r="AN81"/>
  <c r="AR81"/>
  <c r="AV81"/>
  <c r="BB81"/>
  <c r="BF81"/>
  <c r="BJ81"/>
  <c r="BP81"/>
  <c r="BT81"/>
  <c r="BX81"/>
  <c r="CD81"/>
  <c r="CH81"/>
  <c r="CL81"/>
  <c r="CR81"/>
  <c r="CV81"/>
  <c r="CZ81"/>
  <c r="AN84"/>
  <c r="AR84"/>
  <c r="AV84"/>
  <c r="BB84"/>
  <c r="BF84"/>
  <c r="BJ84"/>
  <c r="BP84"/>
  <c r="BT84"/>
  <c r="BX84"/>
  <c r="CD84"/>
  <c r="CH84"/>
  <c r="CL84"/>
  <c r="CR84"/>
  <c r="CV84"/>
  <c r="CZ84"/>
  <c r="AP85"/>
  <c r="BB85"/>
  <c r="BJ85"/>
  <c r="BR85"/>
  <c r="CD85"/>
  <c r="CL85"/>
  <c r="W197"/>
  <c r="Y138"/>
  <c r="AC138"/>
  <c r="AG138"/>
  <c r="Y140"/>
  <c r="AC140"/>
  <c r="AG140"/>
  <c r="Y175"/>
  <c r="AC175"/>
  <c r="AG175"/>
  <c r="BF195"/>
  <c r="AZ195"/>
  <c r="AT195"/>
  <c r="AP195"/>
  <c r="AN195"/>
  <c r="AV195"/>
  <c r="BJ195"/>
  <c r="AG179"/>
  <c r="AN179"/>
  <c r="AR179"/>
  <c r="AV179"/>
  <c r="BB179"/>
  <c r="BF179"/>
  <c r="BJ179"/>
  <c r="BP179"/>
  <c r="BT179"/>
  <c r="BX179"/>
  <c r="CD179"/>
  <c r="CH179"/>
  <c r="CL179"/>
  <c r="CR179"/>
  <c r="CV179"/>
  <c r="AG181"/>
  <c r="AN181"/>
  <c r="AR181"/>
  <c r="AV181"/>
  <c r="BB181"/>
  <c r="BF181"/>
  <c r="BJ181"/>
  <c r="BP181"/>
  <c r="BT181"/>
  <c r="BX181"/>
  <c r="CD181"/>
  <c r="CH181"/>
  <c r="CL181"/>
  <c r="CR181"/>
  <c r="CV181"/>
  <c r="AG183"/>
  <c r="AN183"/>
  <c r="AR183"/>
  <c r="AV183"/>
  <c r="BB183"/>
  <c r="BF183"/>
  <c r="BJ183"/>
  <c r="BP183"/>
  <c r="BT183"/>
  <c r="AN194"/>
  <c r="AR194"/>
  <c r="AV194"/>
  <c r="BB194"/>
  <c r="BF194"/>
  <c r="BJ194"/>
  <c r="BP194"/>
  <c r="BT194"/>
  <c r="BX194"/>
  <c r="CD194"/>
  <c r="CH194"/>
  <c r="CL194"/>
  <c r="CR194"/>
  <c r="CV194"/>
  <c r="CZ194"/>
  <c r="H200"/>
  <c r="AK200"/>
  <c r="H39"/>
  <c r="P45"/>
  <c r="N45"/>
  <c r="O45"/>
  <c r="M45"/>
  <c r="I9"/>
  <c r="I10"/>
  <c r="I11"/>
  <c r="I12"/>
  <c r="I13"/>
  <c r="I14"/>
  <c r="I15"/>
  <c r="AK201"/>
  <c r="I27"/>
  <c r="I29"/>
  <c r="I30"/>
  <c r="P30" s="1"/>
  <c r="I32"/>
  <c r="P32" s="1"/>
  <c r="G39"/>
  <c r="H91"/>
  <c r="I42"/>
  <c r="I43"/>
  <c r="I44"/>
  <c r="X59"/>
  <c r="Z59"/>
  <c r="AB59"/>
  <c r="AD59"/>
  <c r="AF59"/>
  <c r="X70"/>
  <c r="Z70"/>
  <c r="AB70"/>
  <c r="AD70"/>
  <c r="AF70"/>
  <c r="AH70"/>
  <c r="AI74"/>
  <c r="AJ74" s="1"/>
  <c r="AM74"/>
  <c r="AO74"/>
  <c r="AQ74"/>
  <c r="AS74"/>
  <c r="AU74"/>
  <c r="AW74"/>
  <c r="BA74"/>
  <c r="BC74"/>
  <c r="BE74"/>
  <c r="BG74"/>
  <c r="BI74"/>
  <c r="BK74"/>
  <c r="BO74"/>
  <c r="BQ74"/>
  <c r="BS74"/>
  <c r="BU74"/>
  <c r="BW74"/>
  <c r="BY74"/>
  <c r="CC74"/>
  <c r="CE74"/>
  <c r="CG74"/>
  <c r="CI74"/>
  <c r="CK74"/>
  <c r="CM74"/>
  <c r="CQ74"/>
  <c r="CS74"/>
  <c r="CU74"/>
  <c r="CW74"/>
  <c r="CY74"/>
  <c r="AI76"/>
  <c r="AJ76" s="1"/>
  <c r="AM76"/>
  <c r="AO76"/>
  <c r="AQ76"/>
  <c r="AS76"/>
  <c r="AU76"/>
  <c r="AW76"/>
  <c r="BA76"/>
  <c r="BC76"/>
  <c r="BE76"/>
  <c r="BG76"/>
  <c r="BI76"/>
  <c r="BK76"/>
  <c r="BO76"/>
  <c r="BQ76"/>
  <c r="BS76"/>
  <c r="BU76"/>
  <c r="BW76"/>
  <c r="BY76"/>
  <c r="CC76"/>
  <c r="CE76"/>
  <c r="CG76"/>
  <c r="CI76"/>
  <c r="CK76"/>
  <c r="CM76"/>
  <c r="CQ76"/>
  <c r="CS76"/>
  <c r="CU76"/>
  <c r="CW76"/>
  <c r="CY76"/>
  <c r="AI78"/>
  <c r="AJ78" s="1"/>
  <c r="AM78"/>
  <c r="AO78"/>
  <c r="AQ78"/>
  <c r="AS78"/>
  <c r="AU78"/>
  <c r="AW78"/>
  <c r="BA78"/>
  <c r="BC78"/>
  <c r="BE78"/>
  <c r="BG78"/>
  <c r="BI78"/>
  <c r="BK78"/>
  <c r="BO78"/>
  <c r="BQ78"/>
  <c r="BS78"/>
  <c r="BU78"/>
  <c r="BW78"/>
  <c r="BY78"/>
  <c r="CC78"/>
  <c r="CE78"/>
  <c r="CG78"/>
  <c r="CI78"/>
  <c r="CK78"/>
  <c r="CM78"/>
  <c r="CQ78"/>
  <c r="CS78"/>
  <c r="CU78"/>
  <c r="CW78"/>
  <c r="CY78"/>
  <c r="AI80"/>
  <c r="AJ80" s="1"/>
  <c r="AM80"/>
  <c r="AO80"/>
  <c r="AQ80"/>
  <c r="AS80"/>
  <c r="AU80"/>
  <c r="AW80"/>
  <c r="BA80"/>
  <c r="BC80"/>
  <c r="BE80"/>
  <c r="BG80"/>
  <c r="BI80"/>
  <c r="BK80"/>
  <c r="BO80"/>
  <c r="BQ80"/>
  <c r="BS80"/>
  <c r="BU80"/>
  <c r="BW80"/>
  <c r="BY80"/>
  <c r="CC80"/>
  <c r="CE80"/>
  <c r="CG80"/>
  <c r="CI80"/>
  <c r="CK80"/>
  <c r="CM80"/>
  <c r="CQ80"/>
  <c r="CS80"/>
  <c r="CU80"/>
  <c r="CW80"/>
  <c r="CY80"/>
  <c r="AI82"/>
  <c r="AJ82" s="1"/>
  <c r="AM82"/>
  <c r="AO82"/>
  <c r="AQ82"/>
  <c r="AS82"/>
  <c r="AU82"/>
  <c r="AW82"/>
  <c r="BA82"/>
  <c r="BC82"/>
  <c r="BE82"/>
  <c r="BG82"/>
  <c r="BI82"/>
  <c r="BK82"/>
  <c r="BO82"/>
  <c r="BQ82"/>
  <c r="BS82"/>
  <c r="BU82"/>
  <c r="BW82"/>
  <c r="BY82"/>
  <c r="CC82"/>
  <c r="CE82"/>
  <c r="CG82"/>
  <c r="CI82"/>
  <c r="CK82"/>
  <c r="CM82"/>
  <c r="CQ82"/>
  <c r="CS82"/>
  <c r="CU82"/>
  <c r="CW82"/>
  <c r="CY82"/>
  <c r="CE88"/>
  <c r="CI88"/>
  <c r="CM88"/>
  <c r="CQ88"/>
  <c r="CU88"/>
  <c r="H9"/>
  <c r="H25" s="1"/>
  <c r="Q201"/>
  <c r="S201"/>
  <c r="U201"/>
  <c r="W201"/>
  <c r="AL34"/>
  <c r="AL39" s="1"/>
  <c r="X35"/>
  <c r="Z35"/>
  <c r="AB35"/>
  <c r="AD35"/>
  <c r="AF35"/>
  <c r="X36"/>
  <c r="Z36"/>
  <c r="AB36"/>
  <c r="AD36"/>
  <c r="AF36"/>
  <c r="Y37"/>
  <c r="AA37"/>
  <c r="AC37"/>
  <c r="AE37"/>
  <c r="AG37"/>
  <c r="G91"/>
  <c r="I41"/>
  <c r="AL91"/>
  <c r="Y59"/>
  <c r="AA59"/>
  <c r="AC59"/>
  <c r="AE59"/>
  <c r="Y70"/>
  <c r="AA70"/>
  <c r="AC70"/>
  <c r="AE70"/>
  <c r="AG70"/>
  <c r="X71"/>
  <c r="Z71"/>
  <c r="AB71"/>
  <c r="AD71"/>
  <c r="AF71"/>
  <c r="X73"/>
  <c r="Z73"/>
  <c r="AB73"/>
  <c r="AD73"/>
  <c r="AF73"/>
  <c r="AN74"/>
  <c r="AP74"/>
  <c r="AR74"/>
  <c r="AT74"/>
  <c r="AV74"/>
  <c r="AZ74"/>
  <c r="BB74"/>
  <c r="BD74"/>
  <c r="BF74"/>
  <c r="BH74"/>
  <c r="BJ74"/>
  <c r="BN74"/>
  <c r="BP74"/>
  <c r="BR74"/>
  <c r="BT74"/>
  <c r="BV74"/>
  <c r="BX74"/>
  <c r="CB74"/>
  <c r="CD74"/>
  <c r="CF74"/>
  <c r="CH74"/>
  <c r="CJ74"/>
  <c r="CL74"/>
  <c r="CP74"/>
  <c r="CR74"/>
  <c r="CT74"/>
  <c r="CV74"/>
  <c r="CX74"/>
  <c r="AI75"/>
  <c r="AJ75" s="1"/>
  <c r="AM75"/>
  <c r="AO75"/>
  <c r="AQ75"/>
  <c r="AS75"/>
  <c r="AU75"/>
  <c r="AW75"/>
  <c r="BA75"/>
  <c r="BC75"/>
  <c r="BE75"/>
  <c r="BG75"/>
  <c r="BI75"/>
  <c r="BK75"/>
  <c r="BO75"/>
  <c r="BQ75"/>
  <c r="BS75"/>
  <c r="BU75"/>
  <c r="BW75"/>
  <c r="BY75"/>
  <c r="CC75"/>
  <c r="CE75"/>
  <c r="CG75"/>
  <c r="CI75"/>
  <c r="CK75"/>
  <c r="CM75"/>
  <c r="CQ75"/>
  <c r="CS75"/>
  <c r="CU75"/>
  <c r="CW75"/>
  <c r="AN76"/>
  <c r="AP76"/>
  <c r="AR76"/>
  <c r="AT76"/>
  <c r="AV76"/>
  <c r="AZ76"/>
  <c r="BB76"/>
  <c r="BD76"/>
  <c r="BF76"/>
  <c r="BH76"/>
  <c r="BJ76"/>
  <c r="BN76"/>
  <c r="BP76"/>
  <c r="BR76"/>
  <c r="BT76"/>
  <c r="BV76"/>
  <c r="BX76"/>
  <c r="CB76"/>
  <c r="CD76"/>
  <c r="CF76"/>
  <c r="CH76"/>
  <c r="CJ76"/>
  <c r="CL76"/>
  <c r="CP76"/>
  <c r="CR76"/>
  <c r="CT76"/>
  <c r="CV76"/>
  <c r="CX76"/>
  <c r="AI77"/>
  <c r="AJ77" s="1"/>
  <c r="AM77"/>
  <c r="AO77"/>
  <c r="AQ77"/>
  <c r="AS77"/>
  <c r="AU77"/>
  <c r="AW77"/>
  <c r="BA77"/>
  <c r="BC77"/>
  <c r="BE77"/>
  <c r="BG77"/>
  <c r="BI77"/>
  <c r="BK77"/>
  <c r="BO77"/>
  <c r="BQ77"/>
  <c r="BS77"/>
  <c r="BU77"/>
  <c r="BW77"/>
  <c r="BY77"/>
  <c r="CC77"/>
  <c r="CE77"/>
  <c r="CG77"/>
  <c r="CI77"/>
  <c r="CK77"/>
  <c r="CM77"/>
  <c r="CQ77"/>
  <c r="CS77"/>
  <c r="CU77"/>
  <c r="CW77"/>
  <c r="AN78"/>
  <c r="AP78"/>
  <c r="AR78"/>
  <c r="AT78"/>
  <c r="AV78"/>
  <c r="AZ78"/>
  <c r="BB78"/>
  <c r="BD78"/>
  <c r="BF78"/>
  <c r="BH78"/>
  <c r="BJ78"/>
  <c r="BN78"/>
  <c r="BP78"/>
  <c r="BR78"/>
  <c r="BT78"/>
  <c r="BV78"/>
  <c r="BX78"/>
  <c r="CB78"/>
  <c r="CD78"/>
  <c r="CF78"/>
  <c r="CH78"/>
  <c r="CJ78"/>
  <c r="CL78"/>
  <c r="CP78"/>
  <c r="CR78"/>
  <c r="CT78"/>
  <c r="CV78"/>
  <c r="CX78"/>
  <c r="AI79"/>
  <c r="AJ79" s="1"/>
  <c r="AM79"/>
  <c r="AO79"/>
  <c r="AQ79"/>
  <c r="AS79"/>
  <c r="AU79"/>
  <c r="AW79"/>
  <c r="BA79"/>
  <c r="BC79"/>
  <c r="BE79"/>
  <c r="BG79"/>
  <c r="BI79"/>
  <c r="BK79"/>
  <c r="BO79"/>
  <c r="BQ79"/>
  <c r="BS79"/>
  <c r="BU79"/>
  <c r="BW79"/>
  <c r="BY79"/>
  <c r="CC79"/>
  <c r="CE79"/>
  <c r="CG79"/>
  <c r="CI79"/>
  <c r="CK79"/>
  <c r="CM79"/>
  <c r="CQ79"/>
  <c r="CS79"/>
  <c r="CU79"/>
  <c r="CW79"/>
  <c r="AN80"/>
  <c r="AP80"/>
  <c r="AR80"/>
  <c r="AT80"/>
  <c r="AV80"/>
  <c r="AZ80"/>
  <c r="BB80"/>
  <c r="BD80"/>
  <c r="BF80"/>
  <c r="BH80"/>
  <c r="BJ80"/>
  <c r="BN80"/>
  <c r="BP80"/>
  <c r="BR80"/>
  <c r="BT80"/>
  <c r="BV80"/>
  <c r="BX80"/>
  <c r="CB80"/>
  <c r="CD80"/>
  <c r="CF80"/>
  <c r="CH80"/>
  <c r="CJ80"/>
  <c r="CL80"/>
  <c r="CP80"/>
  <c r="CR80"/>
  <c r="CT80"/>
  <c r="CV80"/>
  <c r="CX80"/>
  <c r="AI81"/>
  <c r="AJ81" s="1"/>
  <c r="AM81"/>
  <c r="AO81"/>
  <c r="AQ81"/>
  <c r="AS81"/>
  <c r="AU81"/>
  <c r="AW81"/>
  <c r="BA81"/>
  <c r="BC81"/>
  <c r="BE81"/>
  <c r="BG81"/>
  <c r="BI81"/>
  <c r="BK81"/>
  <c r="BO81"/>
  <c r="BQ81"/>
  <c r="BS81"/>
  <c r="BU81"/>
  <c r="BW81"/>
  <c r="BY81"/>
  <c r="CC81"/>
  <c r="CE81"/>
  <c r="CG81"/>
  <c r="CI81"/>
  <c r="CK81"/>
  <c r="CM81"/>
  <c r="CQ81"/>
  <c r="CS81"/>
  <c r="CU81"/>
  <c r="CW81"/>
  <c r="AN82"/>
  <c r="AP82"/>
  <c r="AR82"/>
  <c r="AT82"/>
  <c r="AV82"/>
  <c r="AZ82"/>
  <c r="BB82"/>
  <c r="BD82"/>
  <c r="BF82"/>
  <c r="BH82"/>
  <c r="BJ82"/>
  <c r="BN82"/>
  <c r="BP82"/>
  <c r="BR82"/>
  <c r="BT82"/>
  <c r="BV82"/>
  <c r="BX82"/>
  <c r="CB82"/>
  <c r="CD82"/>
  <c r="CF82"/>
  <c r="CH82"/>
  <c r="CJ82"/>
  <c r="CL82"/>
  <c r="CP82"/>
  <c r="CR82"/>
  <c r="CT82"/>
  <c r="CV82"/>
  <c r="CX82"/>
  <c r="CZ83"/>
  <c r="CX83"/>
  <c r="CV83"/>
  <c r="CT83"/>
  <c r="CR83"/>
  <c r="CP83"/>
  <c r="CL83"/>
  <c r="AI83"/>
  <c r="AJ83" s="1"/>
  <c r="AM83"/>
  <c r="AO83"/>
  <c r="AQ83"/>
  <c r="AS83"/>
  <c r="AU83"/>
  <c r="AW83"/>
  <c r="BA83"/>
  <c r="BC83"/>
  <c r="BE83"/>
  <c r="BG83"/>
  <c r="BI83"/>
  <c r="BK83"/>
  <c r="BO83"/>
  <c r="BQ83"/>
  <c r="BS83"/>
  <c r="BU83"/>
  <c r="BW83"/>
  <c r="BY83"/>
  <c r="CC83"/>
  <c r="CE83"/>
  <c r="CG83"/>
  <c r="CI83"/>
  <c r="CK83"/>
  <c r="CS83"/>
  <c r="CW83"/>
  <c r="CY85"/>
  <c r="CW85"/>
  <c r="CU85"/>
  <c r="CS85"/>
  <c r="CQ85"/>
  <c r="CM85"/>
  <c r="CK85"/>
  <c r="CI85"/>
  <c r="CG85"/>
  <c r="CE85"/>
  <c r="CC85"/>
  <c r="BY85"/>
  <c r="BW85"/>
  <c r="BU85"/>
  <c r="BS85"/>
  <c r="BQ85"/>
  <c r="BO85"/>
  <c r="BK85"/>
  <c r="BI85"/>
  <c r="BG85"/>
  <c r="BE85"/>
  <c r="BC85"/>
  <c r="BA85"/>
  <c r="AW85"/>
  <c r="AU85"/>
  <c r="AS85"/>
  <c r="AQ85"/>
  <c r="AO85"/>
  <c r="AM85"/>
  <c r="AI85"/>
  <c r="AH85"/>
  <c r="AN85"/>
  <c r="AR85"/>
  <c r="AV85"/>
  <c r="AZ85"/>
  <c r="BD85"/>
  <c r="BH85"/>
  <c r="BP85"/>
  <c r="BT85"/>
  <c r="BX85"/>
  <c r="CB85"/>
  <c r="CF85"/>
  <c r="CJ85"/>
  <c r="CR85"/>
  <c r="CV85"/>
  <c r="CZ85"/>
  <c r="CZ86"/>
  <c r="CX86"/>
  <c r="CV86"/>
  <c r="CT86"/>
  <c r="CR86"/>
  <c r="CP86"/>
  <c r="CL86"/>
  <c r="CJ86"/>
  <c r="CH86"/>
  <c r="CF86"/>
  <c r="CD86"/>
  <c r="CB86"/>
  <c r="BX86"/>
  <c r="BV86"/>
  <c r="BT86"/>
  <c r="BR86"/>
  <c r="BP86"/>
  <c r="BN86"/>
  <c r="BJ86"/>
  <c r="BH86"/>
  <c r="BF86"/>
  <c r="BD86"/>
  <c r="BB86"/>
  <c r="AZ86"/>
  <c r="AV86"/>
  <c r="AT86"/>
  <c r="AR86"/>
  <c r="AP86"/>
  <c r="AN86"/>
  <c r="AI86"/>
  <c r="AJ86" s="1"/>
  <c r="AO86"/>
  <c r="AS86"/>
  <c r="AW86"/>
  <c r="BA86"/>
  <c r="BE86"/>
  <c r="BI86"/>
  <c r="BQ86"/>
  <c r="BU86"/>
  <c r="BY86"/>
  <c r="CC86"/>
  <c r="CG86"/>
  <c r="CK86"/>
  <c r="CS86"/>
  <c r="CW86"/>
  <c r="CZ88"/>
  <c r="CX88"/>
  <c r="CV88"/>
  <c r="CT88"/>
  <c r="CR88"/>
  <c r="CP88"/>
  <c r="CL88"/>
  <c r="CJ88"/>
  <c r="CH88"/>
  <c r="CF88"/>
  <c r="CD88"/>
  <c r="CB88"/>
  <c r="BX88"/>
  <c r="BV88"/>
  <c r="BT88"/>
  <c r="BR88"/>
  <c r="BP88"/>
  <c r="BN88"/>
  <c r="BJ88"/>
  <c r="BH88"/>
  <c r="BF88"/>
  <c r="BD88"/>
  <c r="BB88"/>
  <c r="AZ88"/>
  <c r="AV88"/>
  <c r="AT88"/>
  <c r="AR88"/>
  <c r="AP88"/>
  <c r="AN88"/>
  <c r="AI88"/>
  <c r="AJ88" s="1"/>
  <c r="AO88"/>
  <c r="AS88"/>
  <c r="AW88"/>
  <c r="BA88"/>
  <c r="BE88"/>
  <c r="BI88"/>
  <c r="BQ88"/>
  <c r="BU88"/>
  <c r="BY88"/>
  <c r="CC88"/>
  <c r="CG88"/>
  <c r="CK88"/>
  <c r="CS88"/>
  <c r="CW88"/>
  <c r="AI90"/>
  <c r="AJ90" s="1"/>
  <c r="AM90"/>
  <c r="AO90"/>
  <c r="AQ90"/>
  <c r="AS90"/>
  <c r="AU90"/>
  <c r="AW90"/>
  <c r="BA90"/>
  <c r="BC90"/>
  <c r="BE90"/>
  <c r="BG90"/>
  <c r="BI90"/>
  <c r="BK90"/>
  <c r="BO90"/>
  <c r="BQ90"/>
  <c r="BS90"/>
  <c r="BU90"/>
  <c r="BW90"/>
  <c r="BY90"/>
  <c r="CC90"/>
  <c r="CE90"/>
  <c r="CG90"/>
  <c r="CI90"/>
  <c r="CK90"/>
  <c r="CM90"/>
  <c r="CQ90"/>
  <c r="CS90"/>
  <c r="CU90"/>
  <c r="CW90"/>
  <c r="CY90"/>
  <c r="I93"/>
  <c r="I197" s="1"/>
  <c r="AG142"/>
  <c r="AE142"/>
  <c r="AC142"/>
  <c r="AA142"/>
  <c r="Y142"/>
  <c r="X142"/>
  <c r="AB142"/>
  <c r="AF142"/>
  <c r="AG144"/>
  <c r="AE144"/>
  <c r="AC144"/>
  <c r="AA144"/>
  <c r="Y144"/>
  <c r="X144"/>
  <c r="AB144"/>
  <c r="AF144"/>
  <c r="AG146"/>
  <c r="AE146"/>
  <c r="AC146"/>
  <c r="AA146"/>
  <c r="Y146"/>
  <c r="X146"/>
  <c r="AB146"/>
  <c r="AF146"/>
  <c r="AG148"/>
  <c r="AE148"/>
  <c r="AC148"/>
  <c r="AA148"/>
  <c r="Y148"/>
  <c r="X148"/>
  <c r="AB148"/>
  <c r="AF148"/>
  <c r="AG150"/>
  <c r="AE150"/>
  <c r="AC150"/>
  <c r="AA150"/>
  <c r="Y150"/>
  <c r="X150"/>
  <c r="AB150"/>
  <c r="AF150"/>
  <c r="AI84"/>
  <c r="AJ84" s="1"/>
  <c r="AM84"/>
  <c r="AO84"/>
  <c r="AQ84"/>
  <c r="AS84"/>
  <c r="AU84"/>
  <c r="AW84"/>
  <c r="BA84"/>
  <c r="BC84"/>
  <c r="BE84"/>
  <c r="BG84"/>
  <c r="BI84"/>
  <c r="BK84"/>
  <c r="BO84"/>
  <c r="BQ84"/>
  <c r="BS84"/>
  <c r="BU84"/>
  <c r="BW84"/>
  <c r="BY84"/>
  <c r="CC84"/>
  <c r="CE84"/>
  <c r="CG84"/>
  <c r="CI84"/>
  <c r="CK84"/>
  <c r="CM84"/>
  <c r="CQ84"/>
  <c r="CS84"/>
  <c r="CU84"/>
  <c r="CW84"/>
  <c r="AI87"/>
  <c r="AJ87" s="1"/>
  <c r="AM87"/>
  <c r="AO87"/>
  <c r="AQ87"/>
  <c r="AS87"/>
  <c r="AU87"/>
  <c r="AW87"/>
  <c r="BA87"/>
  <c r="BC87"/>
  <c r="BE87"/>
  <c r="BG87"/>
  <c r="BI87"/>
  <c r="BK87"/>
  <c r="BO87"/>
  <c r="BQ87"/>
  <c r="BS87"/>
  <c r="BU87"/>
  <c r="BW87"/>
  <c r="BY87"/>
  <c r="CC87"/>
  <c r="CE87"/>
  <c r="CG87"/>
  <c r="CI87"/>
  <c r="CK87"/>
  <c r="CM87"/>
  <c r="CQ87"/>
  <c r="CS87"/>
  <c r="CU87"/>
  <c r="CW87"/>
  <c r="AI89"/>
  <c r="AJ89" s="1"/>
  <c r="AM89"/>
  <c r="AO89"/>
  <c r="AQ89"/>
  <c r="AS89"/>
  <c r="AU89"/>
  <c r="AW89"/>
  <c r="BA89"/>
  <c r="BC89"/>
  <c r="BE89"/>
  <c r="BG89"/>
  <c r="BI89"/>
  <c r="BK89"/>
  <c r="BO89"/>
  <c r="BQ89"/>
  <c r="BS89"/>
  <c r="BU89"/>
  <c r="BW89"/>
  <c r="BY89"/>
  <c r="CC89"/>
  <c r="CE89"/>
  <c r="CG89"/>
  <c r="CI89"/>
  <c r="CK89"/>
  <c r="CM89"/>
  <c r="CQ89"/>
  <c r="CS89"/>
  <c r="CU89"/>
  <c r="CW89"/>
  <c r="AN90"/>
  <c r="AP90"/>
  <c r="AR90"/>
  <c r="AT90"/>
  <c r="AV90"/>
  <c r="AZ90"/>
  <c r="BB90"/>
  <c r="BD90"/>
  <c r="BF90"/>
  <c r="BH90"/>
  <c r="BJ90"/>
  <c r="BN90"/>
  <c r="BP90"/>
  <c r="BR90"/>
  <c r="BT90"/>
  <c r="BV90"/>
  <c r="BX90"/>
  <c r="CB90"/>
  <c r="CD90"/>
  <c r="CF90"/>
  <c r="CH90"/>
  <c r="CJ90"/>
  <c r="CL90"/>
  <c r="CP90"/>
  <c r="CR90"/>
  <c r="CT90"/>
  <c r="CV90"/>
  <c r="CX90"/>
  <c r="H93"/>
  <c r="H197" s="1"/>
  <c r="AL197"/>
  <c r="X137"/>
  <c r="Z137"/>
  <c r="AB137"/>
  <c r="AD137"/>
  <c r="X138"/>
  <c r="Z138"/>
  <c r="AB138"/>
  <c r="AD138"/>
  <c r="X139"/>
  <c r="Z139"/>
  <c r="AB139"/>
  <c r="AD139"/>
  <c r="X140"/>
  <c r="Z140"/>
  <c r="AB140"/>
  <c r="AD140"/>
  <c r="AG141"/>
  <c r="AE141"/>
  <c r="AC141"/>
  <c r="X141"/>
  <c r="Z141"/>
  <c r="AB141"/>
  <c r="AF141"/>
  <c r="Z142"/>
  <c r="AD142"/>
  <c r="AG143"/>
  <c r="AE143"/>
  <c r="AC143"/>
  <c r="AA143"/>
  <c r="Y143"/>
  <c r="X143"/>
  <c r="AB143"/>
  <c r="AF143"/>
  <c r="Z144"/>
  <c r="AD144"/>
  <c r="AG145"/>
  <c r="AE145"/>
  <c r="AC145"/>
  <c r="AA145"/>
  <c r="Y145"/>
  <c r="X145"/>
  <c r="AB145"/>
  <c r="AF145"/>
  <c r="Z146"/>
  <c r="AD146"/>
  <c r="AG147"/>
  <c r="AE147"/>
  <c r="AC147"/>
  <c r="AA147"/>
  <c r="Y147"/>
  <c r="X147"/>
  <c r="AB147"/>
  <c r="AF147"/>
  <c r="Z148"/>
  <c r="AD148"/>
  <c r="AG149"/>
  <c r="AE149"/>
  <c r="AC149"/>
  <c r="AA149"/>
  <c r="Y149"/>
  <c r="X149"/>
  <c r="AB149"/>
  <c r="AF149"/>
  <c r="Z150"/>
  <c r="AD150"/>
  <c r="AG151"/>
  <c r="AE151"/>
  <c r="AC151"/>
  <c r="AA151"/>
  <c r="Y151"/>
  <c r="X151"/>
  <c r="AB151"/>
  <c r="AF151"/>
  <c r="AI176"/>
  <c r="AG176"/>
  <c r="AE176"/>
  <c r="AC176"/>
  <c r="AA176"/>
  <c r="Y176"/>
  <c r="X176"/>
  <c r="AB176"/>
  <c r="AF176"/>
  <c r="CV178"/>
  <c r="CT178"/>
  <c r="CR178"/>
  <c r="CN178"/>
  <c r="CL178"/>
  <c r="CJ178"/>
  <c r="CH178"/>
  <c r="CF178"/>
  <c r="CD178"/>
  <c r="BZ178"/>
  <c r="BX178"/>
  <c r="BV178"/>
  <c r="BT178"/>
  <c r="BR178"/>
  <c r="BP178"/>
  <c r="BL178"/>
  <c r="BJ178"/>
  <c r="BH178"/>
  <c r="BF178"/>
  <c r="BD178"/>
  <c r="BB178"/>
  <c r="AX178"/>
  <c r="AV178"/>
  <c r="AT178"/>
  <c r="AR178"/>
  <c r="AP178"/>
  <c r="AN178"/>
  <c r="AI178"/>
  <c r="AG178"/>
  <c r="AE178"/>
  <c r="AH178"/>
  <c r="AO178"/>
  <c r="AS178"/>
  <c r="AW178"/>
  <c r="BA178"/>
  <c r="BE178"/>
  <c r="BI178"/>
  <c r="BQ178"/>
  <c r="BU178"/>
  <c r="BY178"/>
  <c r="CC178"/>
  <c r="CG178"/>
  <c r="CK178"/>
  <c r="CS178"/>
  <c r="CW178"/>
  <c r="X157"/>
  <c r="Z157"/>
  <c r="AB157"/>
  <c r="AD157"/>
  <c r="AF157"/>
  <c r="X158"/>
  <c r="Z158"/>
  <c r="AB158"/>
  <c r="AD158"/>
  <c r="AF158"/>
  <c r="X159"/>
  <c r="Z159"/>
  <c r="AB159"/>
  <c r="AD159"/>
  <c r="AF159"/>
  <c r="X160"/>
  <c r="Z160"/>
  <c r="AB160"/>
  <c r="AD160"/>
  <c r="AF160"/>
  <c r="X161"/>
  <c r="Z161"/>
  <c r="AB161"/>
  <c r="AD161"/>
  <c r="AF161"/>
  <c r="X162"/>
  <c r="Z162"/>
  <c r="AB162"/>
  <c r="AD162"/>
  <c r="AF162"/>
  <c r="X163"/>
  <c r="Z163"/>
  <c r="AB163"/>
  <c r="AD163"/>
  <c r="AF163"/>
  <c r="X164"/>
  <c r="Z164"/>
  <c r="AB164"/>
  <c r="AD164"/>
  <c r="AF164"/>
  <c r="X165"/>
  <c r="Z165"/>
  <c r="AB165"/>
  <c r="AD165"/>
  <c r="AF165"/>
  <c r="X166"/>
  <c r="Z166"/>
  <c r="AB166"/>
  <c r="AD166"/>
  <c r="AF166"/>
  <c r="X167"/>
  <c r="Z167"/>
  <c r="AB167"/>
  <c r="AD167"/>
  <c r="AF167"/>
  <c r="X175"/>
  <c r="Z175"/>
  <c r="AB175"/>
  <c r="AD175"/>
  <c r="AF175"/>
  <c r="X177"/>
  <c r="Z177"/>
  <c r="AB177"/>
  <c r="AD177"/>
  <c r="AF177"/>
  <c r="AF179"/>
  <c r="AH179"/>
  <c r="AM179"/>
  <c r="AO179"/>
  <c r="AQ179"/>
  <c r="AS179"/>
  <c r="AU179"/>
  <c r="AW179"/>
  <c r="BA179"/>
  <c r="BC179"/>
  <c r="BE179"/>
  <c r="BG179"/>
  <c r="BI179"/>
  <c r="BK179"/>
  <c r="BO179"/>
  <c r="BQ179"/>
  <c r="BS179"/>
  <c r="BU179"/>
  <c r="BW179"/>
  <c r="BY179"/>
  <c r="CC179"/>
  <c r="CE179"/>
  <c r="CG179"/>
  <c r="CI179"/>
  <c r="CK179"/>
  <c r="CM179"/>
  <c r="CQ179"/>
  <c r="CS179"/>
  <c r="CU179"/>
  <c r="AE180"/>
  <c r="AG180"/>
  <c r="AI180"/>
  <c r="AN180"/>
  <c r="AP180"/>
  <c r="AR180"/>
  <c r="AT180"/>
  <c r="AV180"/>
  <c r="AX180"/>
  <c r="BB180"/>
  <c r="BD180"/>
  <c r="BF180"/>
  <c r="BH180"/>
  <c r="BJ180"/>
  <c r="BL180"/>
  <c r="BP180"/>
  <c r="BR180"/>
  <c r="BT180"/>
  <c r="BV180"/>
  <c r="BX180"/>
  <c r="BZ180"/>
  <c r="CD180"/>
  <c r="CF180"/>
  <c r="CH180"/>
  <c r="CJ180"/>
  <c r="CL180"/>
  <c r="CN180"/>
  <c r="CR180"/>
  <c r="CT180"/>
  <c r="CV180"/>
  <c r="AF181"/>
  <c r="AH181"/>
  <c r="AM181"/>
  <c r="AO181"/>
  <c r="AQ181"/>
  <c r="AS181"/>
  <c r="AU181"/>
  <c r="AW181"/>
  <c r="BA181"/>
  <c r="BC181"/>
  <c r="BE181"/>
  <c r="BG181"/>
  <c r="BI181"/>
  <c r="BK181"/>
  <c r="BO181"/>
  <c r="BQ181"/>
  <c r="BS181"/>
  <c r="BU181"/>
  <c r="BW181"/>
  <c r="BY181"/>
  <c r="CC181"/>
  <c r="CE181"/>
  <c r="CG181"/>
  <c r="CI181"/>
  <c r="CK181"/>
  <c r="CM181"/>
  <c r="CQ181"/>
  <c r="CS181"/>
  <c r="CU181"/>
  <c r="AE182"/>
  <c r="AG182"/>
  <c r="AI182"/>
  <c r="AN182"/>
  <c r="AP182"/>
  <c r="AR182"/>
  <c r="AT182"/>
  <c r="AV182"/>
  <c r="AX182"/>
  <c r="BB182"/>
  <c r="BD182"/>
  <c r="BF182"/>
  <c r="BH182"/>
  <c r="BJ182"/>
  <c r="BL182"/>
  <c r="BP182"/>
  <c r="BR182"/>
  <c r="BT182"/>
  <c r="BV182"/>
  <c r="BX182"/>
  <c r="BZ182"/>
  <c r="CD182"/>
  <c r="CF182"/>
  <c r="CH182"/>
  <c r="CJ182"/>
  <c r="CL182"/>
  <c r="CN182"/>
  <c r="CR182"/>
  <c r="CT182"/>
  <c r="CV182"/>
  <c r="CV183"/>
  <c r="CT183"/>
  <c r="CR183"/>
  <c r="CN183"/>
  <c r="CL183"/>
  <c r="CJ183"/>
  <c r="CH183"/>
  <c r="CF183"/>
  <c r="CD183"/>
  <c r="CW183"/>
  <c r="CU183"/>
  <c r="CS183"/>
  <c r="CQ183"/>
  <c r="CM183"/>
  <c r="CK183"/>
  <c r="CI183"/>
  <c r="CG183"/>
  <c r="CE183"/>
  <c r="CC183"/>
  <c r="AF183"/>
  <c r="AH183"/>
  <c r="AM183"/>
  <c r="AO183"/>
  <c r="AQ183"/>
  <c r="AS183"/>
  <c r="AU183"/>
  <c r="AW183"/>
  <c r="BA183"/>
  <c r="BC183"/>
  <c r="BE183"/>
  <c r="BG183"/>
  <c r="BI183"/>
  <c r="BK183"/>
  <c r="BO183"/>
  <c r="BQ183"/>
  <c r="BS183"/>
  <c r="BU183"/>
  <c r="BW183"/>
  <c r="BY183"/>
  <c r="AF180"/>
  <c r="AH180"/>
  <c r="AM180"/>
  <c r="AO180"/>
  <c r="AQ180"/>
  <c r="AS180"/>
  <c r="AU180"/>
  <c r="AW180"/>
  <c r="BA180"/>
  <c r="BC180"/>
  <c r="BE180"/>
  <c r="BG180"/>
  <c r="BI180"/>
  <c r="BK180"/>
  <c r="BO180"/>
  <c r="BQ180"/>
  <c r="BS180"/>
  <c r="BU180"/>
  <c r="BW180"/>
  <c r="BY180"/>
  <c r="CC180"/>
  <c r="CE180"/>
  <c r="CG180"/>
  <c r="CI180"/>
  <c r="CK180"/>
  <c r="CM180"/>
  <c r="CQ180"/>
  <c r="CS180"/>
  <c r="CU180"/>
  <c r="AF182"/>
  <c r="AH182"/>
  <c r="AM182"/>
  <c r="AO182"/>
  <c r="AQ182"/>
  <c r="AS182"/>
  <c r="AU182"/>
  <c r="AW182"/>
  <c r="BA182"/>
  <c r="BC182"/>
  <c r="BE182"/>
  <c r="BG182"/>
  <c r="BI182"/>
  <c r="BK182"/>
  <c r="BO182"/>
  <c r="BQ182"/>
  <c r="BS182"/>
  <c r="BU182"/>
  <c r="BW182"/>
  <c r="BY182"/>
  <c r="CC182"/>
  <c r="CE182"/>
  <c r="CG182"/>
  <c r="CI182"/>
  <c r="CK182"/>
  <c r="CM182"/>
  <c r="CQ182"/>
  <c r="CS182"/>
  <c r="CU182"/>
  <c r="AE184"/>
  <c r="AG184"/>
  <c r="AI184"/>
  <c r="AN184"/>
  <c r="AP184"/>
  <c r="AR184"/>
  <c r="AT184"/>
  <c r="AV184"/>
  <c r="AX184"/>
  <c r="BB184"/>
  <c r="BD184"/>
  <c r="BF184"/>
  <c r="BH184"/>
  <c r="BJ184"/>
  <c r="BL184"/>
  <c r="BP184"/>
  <c r="BR184"/>
  <c r="BT184"/>
  <c r="BV184"/>
  <c r="BX184"/>
  <c r="BZ184"/>
  <c r="CD184"/>
  <c r="CF184"/>
  <c r="CH184"/>
  <c r="CJ184"/>
  <c r="CL184"/>
  <c r="CN184"/>
  <c r="CR184"/>
  <c r="CT184"/>
  <c r="CV184"/>
  <c r="AF185"/>
  <c r="AH185"/>
  <c r="AM185"/>
  <c r="AO185"/>
  <c r="AQ185"/>
  <c r="AS185"/>
  <c r="AU185"/>
  <c r="AW185"/>
  <c r="BA185"/>
  <c r="BC185"/>
  <c r="BE185"/>
  <c r="BG185"/>
  <c r="BI185"/>
  <c r="BK185"/>
  <c r="BO185"/>
  <c r="BQ185"/>
  <c r="BS185"/>
  <c r="BU185"/>
  <c r="BW185"/>
  <c r="BY185"/>
  <c r="CC185"/>
  <c r="CE185"/>
  <c r="CG185"/>
  <c r="CI185"/>
  <c r="CK185"/>
  <c r="CM185"/>
  <c r="CQ185"/>
  <c r="CS185"/>
  <c r="CU185"/>
  <c r="CW185"/>
  <c r="AE186"/>
  <c r="AN186"/>
  <c r="AP186"/>
  <c r="AR186"/>
  <c r="AT186"/>
  <c r="AV186"/>
  <c r="AZ186"/>
  <c r="BB186"/>
  <c r="BD186"/>
  <c r="BF186"/>
  <c r="BH186"/>
  <c r="BJ186"/>
  <c r="BN186"/>
  <c r="BP186"/>
  <c r="BR186"/>
  <c r="BT186"/>
  <c r="BV186"/>
  <c r="BX186"/>
  <c r="CB186"/>
  <c r="CD186"/>
  <c r="CF186"/>
  <c r="CH186"/>
  <c r="CJ186"/>
  <c r="CL186"/>
  <c r="CP186"/>
  <c r="CR186"/>
  <c r="CT186"/>
  <c r="CV186"/>
  <c r="AE187"/>
  <c r="AG187"/>
  <c r="AN187"/>
  <c r="AP187"/>
  <c r="AR187"/>
  <c r="AT187"/>
  <c r="AV187"/>
  <c r="AZ187"/>
  <c r="BB187"/>
  <c r="BD187"/>
  <c r="BF187"/>
  <c r="BH187"/>
  <c r="BJ187"/>
  <c r="BN187"/>
  <c r="BP187"/>
  <c r="BR187"/>
  <c r="BT187"/>
  <c r="BV187"/>
  <c r="BX187"/>
  <c r="CB187"/>
  <c r="CD187"/>
  <c r="CF187"/>
  <c r="CH187"/>
  <c r="CJ187"/>
  <c r="CL187"/>
  <c r="CP187"/>
  <c r="CR187"/>
  <c r="CT187"/>
  <c r="CV187"/>
  <c r="CV188"/>
  <c r="CT188"/>
  <c r="CR188"/>
  <c r="CP188"/>
  <c r="CL188"/>
  <c r="CJ188"/>
  <c r="CH188"/>
  <c r="CF188"/>
  <c r="CD188"/>
  <c r="CB188"/>
  <c r="BX188"/>
  <c r="BV188"/>
  <c r="BT188"/>
  <c r="BR188"/>
  <c r="BP188"/>
  <c r="BN188"/>
  <c r="CU188"/>
  <c r="CS188"/>
  <c r="CQ188"/>
  <c r="CO188"/>
  <c r="DA188" s="1"/>
  <c r="CK188"/>
  <c r="CI188"/>
  <c r="CG188"/>
  <c r="CE188"/>
  <c r="CC188"/>
  <c r="CA188"/>
  <c r="CM188" s="1"/>
  <c r="BW188"/>
  <c r="BU188"/>
  <c r="BS188"/>
  <c r="AE188"/>
  <c r="AG188"/>
  <c r="AM188"/>
  <c r="AO188"/>
  <c r="AQ188"/>
  <c r="AS188"/>
  <c r="AU188"/>
  <c r="AY188"/>
  <c r="BA188"/>
  <c r="BC188"/>
  <c r="BE188"/>
  <c r="BG188"/>
  <c r="BI188"/>
  <c r="BO188"/>
  <c r="AF184"/>
  <c r="AH184"/>
  <c r="AM184"/>
  <c r="AO184"/>
  <c r="AQ184"/>
  <c r="AS184"/>
  <c r="AU184"/>
  <c r="AW184"/>
  <c r="BA184"/>
  <c r="BC184"/>
  <c r="BE184"/>
  <c r="BG184"/>
  <c r="BI184"/>
  <c r="BK184"/>
  <c r="BO184"/>
  <c r="BQ184"/>
  <c r="BS184"/>
  <c r="BU184"/>
  <c r="BW184"/>
  <c r="BY184"/>
  <c r="CC184"/>
  <c r="CE184"/>
  <c r="CG184"/>
  <c r="CI184"/>
  <c r="CK184"/>
  <c r="CM184"/>
  <c r="CQ184"/>
  <c r="CS184"/>
  <c r="CU184"/>
  <c r="AE185"/>
  <c r="AG185"/>
  <c r="AI185"/>
  <c r="AN185"/>
  <c r="AP185"/>
  <c r="AR185"/>
  <c r="AT185"/>
  <c r="AV185"/>
  <c r="AX185"/>
  <c r="BB185"/>
  <c r="BD185"/>
  <c r="BF185"/>
  <c r="BH185"/>
  <c r="BJ185"/>
  <c r="BL185"/>
  <c r="BP185"/>
  <c r="BR185"/>
  <c r="BT185"/>
  <c r="BV185"/>
  <c r="BX185"/>
  <c r="BZ185"/>
  <c r="CD185"/>
  <c r="CF185"/>
  <c r="CH185"/>
  <c r="CJ185"/>
  <c r="CL185"/>
  <c r="CN185"/>
  <c r="CR185"/>
  <c r="CT185"/>
  <c r="AM186"/>
  <c r="AO186"/>
  <c r="AQ186"/>
  <c r="AS186"/>
  <c r="AU186"/>
  <c r="AY186"/>
  <c r="BA186"/>
  <c r="BC186"/>
  <c r="BE186"/>
  <c r="BG186"/>
  <c r="BI186"/>
  <c r="BM186"/>
  <c r="BO186"/>
  <c r="BQ186"/>
  <c r="BS186"/>
  <c r="BU186"/>
  <c r="BW186"/>
  <c r="CA186"/>
  <c r="CC186"/>
  <c r="CE186"/>
  <c r="CG186"/>
  <c r="CI186"/>
  <c r="CK186"/>
  <c r="CO186"/>
  <c r="CQ186"/>
  <c r="CS186"/>
  <c r="AF187"/>
  <c r="AH187"/>
  <c r="AM187"/>
  <c r="AO187"/>
  <c r="AQ187"/>
  <c r="AS187"/>
  <c r="AU187"/>
  <c r="AY187"/>
  <c r="BA187"/>
  <c r="BC187"/>
  <c r="BE187"/>
  <c r="BG187"/>
  <c r="BI187"/>
  <c r="BM187"/>
  <c r="BO187"/>
  <c r="BQ187"/>
  <c r="BS187"/>
  <c r="BU187"/>
  <c r="BW187"/>
  <c r="CA187"/>
  <c r="CC187"/>
  <c r="CE187"/>
  <c r="CG187"/>
  <c r="CI187"/>
  <c r="CK187"/>
  <c r="CO187"/>
  <c r="CQ187"/>
  <c r="CS187"/>
  <c r="AF188"/>
  <c r="AH188"/>
  <c r="AN188"/>
  <c r="AP188"/>
  <c r="AR188"/>
  <c r="AT188"/>
  <c r="AV188"/>
  <c r="AZ188"/>
  <c r="BB188"/>
  <c r="BD188"/>
  <c r="BF188"/>
  <c r="BH188"/>
  <c r="BJ188"/>
  <c r="BM188"/>
  <c r="BQ188"/>
  <c r="AF189"/>
  <c r="AH189"/>
  <c r="AN189"/>
  <c r="AP189"/>
  <c r="AR189"/>
  <c r="AT189"/>
  <c r="AV189"/>
  <c r="AZ189"/>
  <c r="BB189"/>
  <c r="BD189"/>
  <c r="BF189"/>
  <c r="BH189"/>
  <c r="BJ189"/>
  <c r="BN189"/>
  <c r="BP189"/>
  <c r="BR189"/>
  <c r="BT189"/>
  <c r="BV189"/>
  <c r="BX189"/>
  <c r="CB189"/>
  <c r="CD189"/>
  <c r="CF189"/>
  <c r="CH189"/>
  <c r="CJ189"/>
  <c r="CL189"/>
  <c r="CP189"/>
  <c r="CR189"/>
  <c r="CT189"/>
  <c r="CV189"/>
  <c r="AN190"/>
  <c r="AP190"/>
  <c r="AR190"/>
  <c r="AT190"/>
  <c r="AV190"/>
  <c r="AZ190"/>
  <c r="BB190"/>
  <c r="BD190"/>
  <c r="BF190"/>
  <c r="BH190"/>
  <c r="BJ190"/>
  <c r="BN190"/>
  <c r="BP190"/>
  <c r="BR190"/>
  <c r="BT190"/>
  <c r="BV190"/>
  <c r="BX190"/>
  <c r="CB190"/>
  <c r="CD190"/>
  <c r="CF190"/>
  <c r="CH190"/>
  <c r="CJ190"/>
  <c r="CL190"/>
  <c r="CP190"/>
  <c r="CR190"/>
  <c r="CT190"/>
  <c r="CV190"/>
  <c r="CX190"/>
  <c r="CZ190"/>
  <c r="AN191"/>
  <c r="AP191"/>
  <c r="AR191"/>
  <c r="AT191"/>
  <c r="AV191"/>
  <c r="AZ191"/>
  <c r="BB191"/>
  <c r="BD191"/>
  <c r="BF191"/>
  <c r="BH191"/>
  <c r="BJ191"/>
  <c r="BN191"/>
  <c r="BP191"/>
  <c r="BR191"/>
  <c r="BT191"/>
  <c r="BV191"/>
  <c r="BX191"/>
  <c r="CB191"/>
  <c r="CD191"/>
  <c r="CF191"/>
  <c r="CH191"/>
  <c r="CJ191"/>
  <c r="CL191"/>
  <c r="CP191"/>
  <c r="CR191"/>
  <c r="CT191"/>
  <c r="CV191"/>
  <c r="CX191"/>
  <c r="CZ191"/>
  <c r="AN192"/>
  <c r="AP192"/>
  <c r="AR192"/>
  <c r="AT192"/>
  <c r="AV192"/>
  <c r="AZ192"/>
  <c r="BB192"/>
  <c r="BD192"/>
  <c r="BF192"/>
  <c r="BH192"/>
  <c r="BJ192"/>
  <c r="BN192"/>
  <c r="BP192"/>
  <c r="BR192"/>
  <c r="BT192"/>
  <c r="BV192"/>
  <c r="BX192"/>
  <c r="CB192"/>
  <c r="CD192"/>
  <c r="CF192"/>
  <c r="CH192"/>
  <c r="CJ192"/>
  <c r="CL192"/>
  <c r="CP192"/>
  <c r="CR192"/>
  <c r="CT192"/>
  <c r="CV192"/>
  <c r="CX192"/>
  <c r="CZ192"/>
  <c r="AE189"/>
  <c r="AG189"/>
  <c r="AM189"/>
  <c r="AO189"/>
  <c r="AQ189"/>
  <c r="AS189"/>
  <c r="AU189"/>
  <c r="AY189"/>
  <c r="BA189"/>
  <c r="BC189"/>
  <c r="BE189"/>
  <c r="BG189"/>
  <c r="BI189"/>
  <c r="BM189"/>
  <c r="BO189"/>
  <c r="BQ189"/>
  <c r="BS189"/>
  <c r="BU189"/>
  <c r="BW189"/>
  <c r="CA189"/>
  <c r="CC189"/>
  <c r="CE189"/>
  <c r="CG189"/>
  <c r="CI189"/>
  <c r="CK189"/>
  <c r="CO189"/>
  <c r="CQ189"/>
  <c r="CS189"/>
  <c r="AI190"/>
  <c r="AJ190" s="1"/>
  <c r="AM190"/>
  <c r="AO190"/>
  <c r="AQ190"/>
  <c r="AS190"/>
  <c r="AU190"/>
  <c r="AW190"/>
  <c r="BA190"/>
  <c r="BC190"/>
  <c r="BE190"/>
  <c r="BG190"/>
  <c r="BI190"/>
  <c r="BK190"/>
  <c r="BO190"/>
  <c r="BQ190"/>
  <c r="BS190"/>
  <c r="BU190"/>
  <c r="BW190"/>
  <c r="BY190"/>
  <c r="CC190"/>
  <c r="CE190"/>
  <c r="CG190"/>
  <c r="CI190"/>
  <c r="CK190"/>
  <c r="CM190"/>
  <c r="CQ190"/>
  <c r="CS190"/>
  <c r="CU190"/>
  <c r="CW190"/>
  <c r="AI191"/>
  <c r="AJ191" s="1"/>
  <c r="AM191"/>
  <c r="AO191"/>
  <c r="AQ191"/>
  <c r="AS191"/>
  <c r="AU191"/>
  <c r="AW191"/>
  <c r="BA191"/>
  <c r="BC191"/>
  <c r="BE191"/>
  <c r="BG191"/>
  <c r="BI191"/>
  <c r="BK191"/>
  <c r="BO191"/>
  <c r="BQ191"/>
  <c r="BS191"/>
  <c r="BU191"/>
  <c r="BW191"/>
  <c r="BY191"/>
  <c r="CC191"/>
  <c r="CE191"/>
  <c r="CG191"/>
  <c r="CI191"/>
  <c r="CK191"/>
  <c r="CM191"/>
  <c r="CQ191"/>
  <c r="CS191"/>
  <c r="CU191"/>
  <c r="CW191"/>
  <c r="AI192"/>
  <c r="AJ192" s="1"/>
  <c r="AM192"/>
  <c r="AO192"/>
  <c r="AQ192"/>
  <c r="AS192"/>
  <c r="AU192"/>
  <c r="AW192"/>
  <c r="BA192"/>
  <c r="BC192"/>
  <c r="BE192"/>
  <c r="BG192"/>
  <c r="BI192"/>
  <c r="BK192"/>
  <c r="BO192"/>
  <c r="BQ192"/>
  <c r="BS192"/>
  <c r="BU192"/>
  <c r="BW192"/>
  <c r="BY192"/>
  <c r="CC192"/>
  <c r="CE192"/>
  <c r="CG192"/>
  <c r="CI192"/>
  <c r="CK192"/>
  <c r="CM192"/>
  <c r="CQ192"/>
  <c r="CS192"/>
  <c r="CU192"/>
  <c r="CW192"/>
  <c r="AI193"/>
  <c r="AJ193" s="1"/>
  <c r="AM193"/>
  <c r="AO193"/>
  <c r="AQ193"/>
  <c r="AS193"/>
  <c r="AU193"/>
  <c r="AW193"/>
  <c r="BA193"/>
  <c r="BC193"/>
  <c r="BE193"/>
  <c r="BG193"/>
  <c r="BI193"/>
  <c r="BK193"/>
  <c r="BO193"/>
  <c r="BQ193"/>
  <c r="BS193"/>
  <c r="BU193"/>
  <c r="BW193"/>
  <c r="BY193"/>
  <c r="CC193"/>
  <c r="CE193"/>
  <c r="CG193"/>
  <c r="CI193"/>
  <c r="CK193"/>
  <c r="CM193"/>
  <c r="CQ193"/>
  <c r="CS193"/>
  <c r="CU193"/>
  <c r="CW193"/>
  <c r="AI194"/>
  <c r="AJ194" s="1"/>
  <c r="AM194"/>
  <c r="AO194"/>
  <c r="AQ194"/>
  <c r="AS194"/>
  <c r="AU194"/>
  <c r="AW194"/>
  <c r="BA194"/>
  <c r="BC194"/>
  <c r="BE194"/>
  <c r="BG194"/>
  <c r="BI194"/>
  <c r="BK194"/>
  <c r="BO194"/>
  <c r="BQ194"/>
  <c r="BS194"/>
  <c r="BU194"/>
  <c r="BW194"/>
  <c r="BY194"/>
  <c r="CC194"/>
  <c r="CE194"/>
  <c r="CG194"/>
  <c r="CI194"/>
  <c r="CK194"/>
  <c r="CM194"/>
  <c r="CQ194"/>
  <c r="CS194"/>
  <c r="CU194"/>
  <c r="CW194"/>
  <c r="CZ195"/>
  <c r="CX195"/>
  <c r="CV195"/>
  <c r="CT195"/>
  <c r="CR195"/>
  <c r="CP195"/>
  <c r="CL195"/>
  <c r="CJ195"/>
  <c r="CH195"/>
  <c r="CF195"/>
  <c r="CD195"/>
  <c r="CB195"/>
  <c r="BX195"/>
  <c r="BV195"/>
  <c r="BT195"/>
  <c r="BR195"/>
  <c r="BP195"/>
  <c r="BN195"/>
  <c r="CY195"/>
  <c r="CW195"/>
  <c r="CU195"/>
  <c r="CS195"/>
  <c r="CQ195"/>
  <c r="CM195"/>
  <c r="CK195"/>
  <c r="CI195"/>
  <c r="CG195"/>
  <c r="CE195"/>
  <c r="CC195"/>
  <c r="BY195"/>
  <c r="BW195"/>
  <c r="BU195"/>
  <c r="BS195"/>
  <c r="BQ195"/>
  <c r="BO195"/>
  <c r="BK195"/>
  <c r="BI195"/>
  <c r="BG195"/>
  <c r="BE195"/>
  <c r="BC195"/>
  <c r="AI195"/>
  <c r="AJ195" s="1"/>
  <c r="AM195"/>
  <c r="AO195"/>
  <c r="AQ195"/>
  <c r="AS195"/>
  <c r="AU195"/>
  <c r="AW195"/>
  <c r="BA195"/>
  <c r="BD195"/>
  <c r="BH195"/>
  <c r="AI196"/>
  <c r="AJ196" s="1"/>
  <c r="AM196"/>
  <c r="AO196"/>
  <c r="AQ196"/>
  <c r="AS196"/>
  <c r="AU196"/>
  <c r="AW196"/>
  <c r="BA196"/>
  <c r="BC196"/>
  <c r="BE196"/>
  <c r="BG196"/>
  <c r="BI196"/>
  <c r="BK196"/>
  <c r="BO196"/>
  <c r="BQ196"/>
  <c r="BS196"/>
  <c r="BU196"/>
  <c r="BW196"/>
  <c r="BY196"/>
  <c r="CC196"/>
  <c r="CE196"/>
  <c r="CG196"/>
  <c r="CI196"/>
  <c r="CK196"/>
  <c r="CM196"/>
  <c r="CQ196"/>
  <c r="CS196"/>
  <c r="CU196"/>
  <c r="CW196"/>
  <c r="CY196"/>
  <c r="AN196"/>
  <c r="AP196"/>
  <c r="AR196"/>
  <c r="AT196"/>
  <c r="AV196"/>
  <c r="AZ196"/>
  <c r="BB196"/>
  <c r="BD196"/>
  <c r="BF196"/>
  <c r="BH196"/>
  <c r="BJ196"/>
  <c r="BN196"/>
  <c r="BP196"/>
  <c r="BR196"/>
  <c r="BT196"/>
  <c r="BV196"/>
  <c r="BX196"/>
  <c r="CB196"/>
  <c r="CD196"/>
  <c r="CF196"/>
  <c r="CH196"/>
  <c r="CJ196"/>
  <c r="CL196"/>
  <c r="CP196"/>
  <c r="CR196"/>
  <c r="CT196"/>
  <c r="CV196"/>
  <c r="CX196"/>
  <c r="H7" i="1"/>
  <c r="H24" s="1"/>
  <c r="I8"/>
  <c r="X9"/>
  <c r="Z9"/>
  <c r="AB9"/>
  <c r="AD9"/>
  <c r="AF9"/>
  <c r="AH9"/>
  <c r="AL9"/>
  <c r="AN9"/>
  <c r="AP9"/>
  <c r="AR9"/>
  <c r="AT9"/>
  <c r="AV9"/>
  <c r="AZ9"/>
  <c r="BB9"/>
  <c r="BD9"/>
  <c r="BF9"/>
  <c r="BH9"/>
  <c r="BJ9"/>
  <c r="BN9"/>
  <c r="BP9"/>
  <c r="BR9"/>
  <c r="BT9"/>
  <c r="BV9"/>
  <c r="BX9"/>
  <c r="CB9"/>
  <c r="CD9"/>
  <c r="CF9"/>
  <c r="CH9"/>
  <c r="CJ9"/>
  <c r="CL9"/>
  <c r="CP9"/>
  <c r="CR9"/>
  <c r="CT9"/>
  <c r="CV9"/>
  <c r="CX9"/>
  <c r="CZ9"/>
  <c r="DD9"/>
  <c r="DF9"/>
  <c r="X10"/>
  <c r="Z10"/>
  <c r="AB10"/>
  <c r="AD10"/>
  <c r="AF10"/>
  <c r="AH10"/>
  <c r="AL10"/>
  <c r="AN10"/>
  <c r="AP10"/>
  <c r="AR10"/>
  <c r="AT10"/>
  <c r="AV10"/>
  <c r="AZ10"/>
  <c r="BB10"/>
  <c r="BD10"/>
  <c r="BF10"/>
  <c r="BH10"/>
  <c r="BJ10"/>
  <c r="BN10"/>
  <c r="BP10"/>
  <c r="BR10"/>
  <c r="BT10"/>
  <c r="BV10"/>
  <c r="BX10"/>
  <c r="CB10"/>
  <c r="CD10"/>
  <c r="CF10"/>
  <c r="CH10"/>
  <c r="CJ10"/>
  <c r="CL10"/>
  <c r="CP10"/>
  <c r="CR10"/>
  <c r="CT10"/>
  <c r="CV10"/>
  <c r="CX10"/>
  <c r="CZ10"/>
  <c r="DD10"/>
  <c r="DF10"/>
  <c r="X11"/>
  <c r="Z11"/>
  <c r="AB11"/>
  <c r="AD11"/>
  <c r="AF11"/>
  <c r="AH11"/>
  <c r="AL11"/>
  <c r="AN11"/>
  <c r="AP11"/>
  <c r="AR11"/>
  <c r="AT11"/>
  <c r="AV11"/>
  <c r="AZ11"/>
  <c r="BB11"/>
  <c r="BD11"/>
  <c r="BF11"/>
  <c r="BH11"/>
  <c r="BJ11"/>
  <c r="BN11"/>
  <c r="BP11"/>
  <c r="BR11"/>
  <c r="BT11"/>
  <c r="BV11"/>
  <c r="BX11"/>
  <c r="CB11"/>
  <c r="CD11"/>
  <c r="CF11"/>
  <c r="CH11"/>
  <c r="CJ11"/>
  <c r="CL11"/>
  <c r="CP11"/>
  <c r="CR11"/>
  <c r="CT11"/>
  <c r="CV11"/>
  <c r="CX11"/>
  <c r="CZ11"/>
  <c r="DD11"/>
  <c r="DP11" s="1"/>
  <c r="DF11"/>
  <c r="X12"/>
  <c r="Z12"/>
  <c r="AB12"/>
  <c r="AD12"/>
  <c r="AF12"/>
  <c r="AH12"/>
  <c r="AL12"/>
  <c r="AN12"/>
  <c r="AP12"/>
  <c r="AR12"/>
  <c r="AT12"/>
  <c r="AV12"/>
  <c r="AZ12"/>
  <c r="BB12"/>
  <c r="BD12"/>
  <c r="BF12"/>
  <c r="BH12"/>
  <c r="BJ12"/>
  <c r="BN12"/>
  <c r="BP12"/>
  <c r="BR12"/>
  <c r="BT12"/>
  <c r="BV12"/>
  <c r="BX12"/>
  <c r="CB12"/>
  <c r="CD12"/>
  <c r="CF12"/>
  <c r="CH12"/>
  <c r="CJ12"/>
  <c r="CL12"/>
  <c r="CP12"/>
  <c r="CR12"/>
  <c r="CT12"/>
  <c r="CV12"/>
  <c r="CX12"/>
  <c r="CZ12"/>
  <c r="DD12"/>
  <c r="DP12" s="1"/>
  <c r="DF12"/>
  <c r="X13"/>
  <c r="Z13"/>
  <c r="AB13"/>
  <c r="AD13"/>
  <c r="AF13"/>
  <c r="AH13"/>
  <c r="AL13"/>
  <c r="AN13"/>
  <c r="AP13"/>
  <c r="AR13"/>
  <c r="AT13"/>
  <c r="AV13"/>
  <c r="AZ13"/>
  <c r="BB13"/>
  <c r="BD13"/>
  <c r="BF13"/>
  <c r="BH13"/>
  <c r="BJ13"/>
  <c r="BN13"/>
  <c r="BP13"/>
  <c r="BR13"/>
  <c r="BT13"/>
  <c r="BV13"/>
  <c r="BX13"/>
  <c r="CB13"/>
  <c r="CD13"/>
  <c r="CF13"/>
  <c r="CH13"/>
  <c r="CJ13"/>
  <c r="CL13"/>
  <c r="CP13"/>
  <c r="CR13"/>
  <c r="CT13"/>
  <c r="CV13"/>
  <c r="CX13"/>
  <c r="CZ13"/>
  <c r="DD13"/>
  <c r="DP13" s="1"/>
  <c r="DF13"/>
  <c r="X14"/>
  <c r="Z14"/>
  <c r="AB14"/>
  <c r="AD14"/>
  <c r="AF14"/>
  <c r="AH14"/>
  <c r="AL14"/>
  <c r="AN14"/>
  <c r="AP14"/>
  <c r="AR14"/>
  <c r="AT14"/>
  <c r="AV14"/>
  <c r="AZ14"/>
  <c r="BB14"/>
  <c r="BD14"/>
  <c r="BF14"/>
  <c r="BH14"/>
  <c r="BJ14"/>
  <c r="BN14"/>
  <c r="BP14"/>
  <c r="BR14"/>
  <c r="BT14"/>
  <c r="BV14"/>
  <c r="BX14"/>
  <c r="CB14"/>
  <c r="CD14"/>
  <c r="CF14"/>
  <c r="CH14"/>
  <c r="CJ14"/>
  <c r="CL14"/>
  <c r="CP14"/>
  <c r="CR14"/>
  <c r="CT14"/>
  <c r="CV14"/>
  <c r="CX14"/>
  <c r="CZ14"/>
  <c r="DD14"/>
  <c r="DP14" s="1"/>
  <c r="DF14"/>
  <c r="X15"/>
  <c r="Z15"/>
  <c r="AB15"/>
  <c r="AD15"/>
  <c r="AF15"/>
  <c r="AH15"/>
  <c r="AL15"/>
  <c r="AN15"/>
  <c r="AP15"/>
  <c r="AR15"/>
  <c r="AT15"/>
  <c r="AV15"/>
  <c r="AZ15"/>
  <c r="BB15"/>
  <c r="BD15"/>
  <c r="BF15"/>
  <c r="BH15"/>
  <c r="BJ15"/>
  <c r="BN15"/>
  <c r="BP15"/>
  <c r="BR15"/>
  <c r="BT15"/>
  <c r="BV15"/>
  <c r="BX15"/>
  <c r="CB15"/>
  <c r="CD15"/>
  <c r="CF15"/>
  <c r="CH15"/>
  <c r="CJ15"/>
  <c r="CL15"/>
  <c r="CP15"/>
  <c r="CR15"/>
  <c r="CT15"/>
  <c r="CV15"/>
  <c r="CX15"/>
  <c r="CZ15"/>
  <c r="DD15"/>
  <c r="DP15" s="1"/>
  <c r="DF15"/>
  <c r="X16"/>
  <c r="Z16"/>
  <c r="AB16"/>
  <c r="AD16"/>
  <c r="AF16"/>
  <c r="AH16"/>
  <c r="AL16"/>
  <c r="AN16"/>
  <c r="AP16"/>
  <c r="AR16"/>
  <c r="AT16"/>
  <c r="AV16"/>
  <c r="AZ16"/>
  <c r="BB16"/>
  <c r="BD16"/>
  <c r="BF16"/>
  <c r="BH16"/>
  <c r="BJ16"/>
  <c r="BN16"/>
  <c r="BP16"/>
  <c r="BR16"/>
  <c r="BT16"/>
  <c r="BV16"/>
  <c r="BX16"/>
  <c r="CB16"/>
  <c r="CD16"/>
  <c r="CF16"/>
  <c r="CH16"/>
  <c r="CJ16"/>
  <c r="CL16"/>
  <c r="CP16"/>
  <c r="CR16"/>
  <c r="CT16"/>
  <c r="CV16"/>
  <c r="CX16"/>
  <c r="CZ16"/>
  <c r="DD16"/>
  <c r="DP16" s="1"/>
  <c r="DF16"/>
  <c r="X17"/>
  <c r="Z17"/>
  <c r="AB17"/>
  <c r="AD17"/>
  <c r="AF17"/>
  <c r="AH17"/>
  <c r="AL17"/>
  <c r="AN17"/>
  <c r="AP17"/>
  <c r="AR17"/>
  <c r="AT17"/>
  <c r="AV17"/>
  <c r="AZ17"/>
  <c r="BB17"/>
  <c r="BD17"/>
  <c r="BF17"/>
  <c r="BH17"/>
  <c r="BJ17"/>
  <c r="BN17"/>
  <c r="BP17"/>
  <c r="BR17"/>
  <c r="BT17"/>
  <c r="BV17"/>
  <c r="BX17"/>
  <c r="CB17"/>
  <c r="CD17"/>
  <c r="CF17"/>
  <c r="CH17"/>
  <c r="CJ17"/>
  <c r="CL17"/>
  <c r="CP17"/>
  <c r="CR17"/>
  <c r="CT17"/>
  <c r="CV17"/>
  <c r="CX17"/>
  <c r="CZ17"/>
  <c r="DD17"/>
  <c r="DP17" s="1"/>
  <c r="DF17"/>
  <c r="X18"/>
  <c r="Z18"/>
  <c r="AB18"/>
  <c r="AD18"/>
  <c r="AF18"/>
  <c r="AH18"/>
  <c r="AL18"/>
  <c r="AN18"/>
  <c r="AP18"/>
  <c r="AR18"/>
  <c r="AT18"/>
  <c r="AV18"/>
  <c r="AZ18"/>
  <c r="BB18"/>
  <c r="BD18"/>
  <c r="BF18"/>
  <c r="BH18"/>
  <c r="BJ18"/>
  <c r="BN18"/>
  <c r="BP18"/>
  <c r="BR18"/>
  <c r="BT18"/>
  <c r="BV18"/>
  <c r="BX18"/>
  <c r="CB18"/>
  <c r="CD18"/>
  <c r="CF18"/>
  <c r="CH18"/>
  <c r="CJ18"/>
  <c r="CL18"/>
  <c r="CP18"/>
  <c r="CR18"/>
  <c r="CT18"/>
  <c r="CV18"/>
  <c r="CX18"/>
  <c r="CZ18"/>
  <c r="DD18"/>
  <c r="DP18" s="1"/>
  <c r="DF18"/>
  <c r="X19"/>
  <c r="Z19"/>
  <c r="AB19"/>
  <c r="AD19"/>
  <c r="AF19"/>
  <c r="AH19"/>
  <c r="AL19"/>
  <c r="AN19"/>
  <c r="AP19"/>
  <c r="AR19"/>
  <c r="AT19"/>
  <c r="AV19"/>
  <c r="AZ19"/>
  <c r="BB19"/>
  <c r="BD19"/>
  <c r="BF19"/>
  <c r="BH19"/>
  <c r="BJ19"/>
  <c r="BN19"/>
  <c r="BP19"/>
  <c r="BR19"/>
  <c r="BT19"/>
  <c r="BV19"/>
  <c r="BX19"/>
  <c r="CB19"/>
  <c r="CD19"/>
  <c r="CF19"/>
  <c r="CH19"/>
  <c r="CJ19"/>
  <c r="CL19"/>
  <c r="CP19"/>
  <c r="CR19"/>
  <c r="CT19"/>
  <c r="CV19"/>
  <c r="CX19"/>
  <c r="CZ19"/>
  <c r="DD19"/>
  <c r="DP19" s="1"/>
  <c r="DF19"/>
  <c r="X20"/>
  <c r="Z20"/>
  <c r="AB20"/>
  <c r="AD20"/>
  <c r="AF20"/>
  <c r="AH20"/>
  <c r="AL20"/>
  <c r="AN20"/>
  <c r="AP20"/>
  <c r="AR20"/>
  <c r="AT20"/>
  <c r="AV20"/>
  <c r="AZ20"/>
  <c r="BB20"/>
  <c r="BD20"/>
  <c r="BF20"/>
  <c r="BH20"/>
  <c r="BJ20"/>
  <c r="BN20"/>
  <c r="BP20"/>
  <c r="BR20"/>
  <c r="BT20"/>
  <c r="BV20"/>
  <c r="BX20"/>
  <c r="CB20"/>
  <c r="CD20"/>
  <c r="CF20"/>
  <c r="CH20"/>
  <c r="CJ20"/>
  <c r="CL20"/>
  <c r="CP20"/>
  <c r="CR20"/>
  <c r="CT20"/>
  <c r="CV20"/>
  <c r="CX20"/>
  <c r="CZ20"/>
  <c r="DD20"/>
  <c r="DP20" s="1"/>
  <c r="DF20"/>
  <c r="AH21"/>
  <c r="AJ21" s="1"/>
  <c r="AL21"/>
  <c r="AN21"/>
  <c r="AP21"/>
  <c r="AR21"/>
  <c r="AT21"/>
  <c r="AV21"/>
  <c r="AZ21"/>
  <c r="BB21"/>
  <c r="BD21"/>
  <c r="BF21"/>
  <c r="BH21"/>
  <c r="BJ21"/>
  <c r="BN21"/>
  <c r="BP21"/>
  <c r="BR21"/>
  <c r="BT21"/>
  <c r="BV21"/>
  <c r="BX21"/>
  <c r="CB21"/>
  <c r="CD21"/>
  <c r="CF21"/>
  <c r="CH21"/>
  <c r="CJ21"/>
  <c r="CL21"/>
  <c r="CP21"/>
  <c r="CR21"/>
  <c r="CT21"/>
  <c r="CV21"/>
  <c r="CX21"/>
  <c r="CZ21"/>
  <c r="DD21"/>
  <c r="DF21"/>
  <c r="DH22"/>
  <c r="DF22"/>
  <c r="DD22"/>
  <c r="BX22"/>
  <c r="BZ22" s="1"/>
  <c r="CA22" s="1"/>
  <c r="CB22"/>
  <c r="CD22"/>
  <c r="CF22"/>
  <c r="CH22"/>
  <c r="CJ22"/>
  <c r="CL22"/>
  <c r="CP22"/>
  <c r="CR22"/>
  <c r="CT22"/>
  <c r="CV22"/>
  <c r="CX22"/>
  <c r="CZ22"/>
  <c r="DE22"/>
  <c r="DI22"/>
  <c r="I31"/>
  <c r="DI26"/>
  <c r="DI31" s="1"/>
  <c r="DG26"/>
  <c r="DE26"/>
  <c r="DA26"/>
  <c r="CY26"/>
  <c r="CW26"/>
  <c r="CU26"/>
  <c r="CS26"/>
  <c r="CQ26"/>
  <c r="CM26"/>
  <c r="CK26"/>
  <c r="CI26"/>
  <c r="CG26"/>
  <c r="CE26"/>
  <c r="CC26"/>
  <c r="BY26"/>
  <c r="BW26"/>
  <c r="BU26"/>
  <c r="BS26"/>
  <c r="BQ26"/>
  <c r="BO26"/>
  <c r="BK26"/>
  <c r="BI26"/>
  <c r="BG26"/>
  <c r="BE26"/>
  <c r="BC26"/>
  <c r="BA26"/>
  <c r="AW26"/>
  <c r="AU26"/>
  <c r="AS26"/>
  <c r="AQ26"/>
  <c r="AO26"/>
  <c r="AM26"/>
  <c r="AI26"/>
  <c r="AG26"/>
  <c r="AG31" s="1"/>
  <c r="AE26"/>
  <c r="AE31" s="1"/>
  <c r="AD26"/>
  <c r="AH26"/>
  <c r="AH31" s="1"/>
  <c r="AL26"/>
  <c r="AP26"/>
  <c r="AT26"/>
  <c r="BB26"/>
  <c r="BF26"/>
  <c r="BJ26"/>
  <c r="BN26"/>
  <c r="BR26"/>
  <c r="BV26"/>
  <c r="CD26"/>
  <c r="CH26"/>
  <c r="CL26"/>
  <c r="CP26"/>
  <c r="CT26"/>
  <c r="CX26"/>
  <c r="DF26"/>
  <c r="AO27"/>
  <c r="AS27"/>
  <c r="AW27"/>
  <c r="BA27"/>
  <c r="BE27"/>
  <c r="BI27"/>
  <c r="BQ27"/>
  <c r="BU27"/>
  <c r="BY27"/>
  <c r="CC27"/>
  <c r="CG27"/>
  <c r="CK27"/>
  <c r="CS27"/>
  <c r="CW27"/>
  <c r="DA27"/>
  <c r="DE27"/>
  <c r="DH29"/>
  <c r="DF29"/>
  <c r="DD29"/>
  <c r="DP29" s="1"/>
  <c r="CZ29"/>
  <c r="CX29"/>
  <c r="CV29"/>
  <c r="CT29"/>
  <c r="CR29"/>
  <c r="CP29"/>
  <c r="CL29"/>
  <c r="CJ29"/>
  <c r="CN29" s="1"/>
  <c r="CO29" s="1"/>
  <c r="CM29"/>
  <c r="CQ29"/>
  <c r="CU29"/>
  <c r="CY29"/>
  <c r="DG29"/>
  <c r="AR33"/>
  <c r="AV33"/>
  <c r="AZ33"/>
  <c r="BD33"/>
  <c r="BH33"/>
  <c r="BP33"/>
  <c r="BT33"/>
  <c r="BX33"/>
  <c r="CB33"/>
  <c r="CF33"/>
  <c r="CJ33"/>
  <c r="CR33"/>
  <c r="CV33"/>
  <c r="CZ33"/>
  <c r="DD33"/>
  <c r="DG35"/>
  <c r="DE35"/>
  <c r="DA35"/>
  <c r="CY35"/>
  <c r="CW35"/>
  <c r="CU35"/>
  <c r="CS35"/>
  <c r="CQ35"/>
  <c r="CM35"/>
  <c r="CK35"/>
  <c r="CI35"/>
  <c r="CG35"/>
  <c r="CE35"/>
  <c r="CC35"/>
  <c r="BY35"/>
  <c r="BW35"/>
  <c r="BU35"/>
  <c r="BS35"/>
  <c r="BQ35"/>
  <c r="BO35"/>
  <c r="BK35"/>
  <c r="BI35"/>
  <c r="BG35"/>
  <c r="BE35"/>
  <c r="BC35"/>
  <c r="BA35"/>
  <c r="AW35"/>
  <c r="AU35"/>
  <c r="AS35"/>
  <c r="AQ35"/>
  <c r="AY35" s="1"/>
  <c r="AT35"/>
  <c r="BB35"/>
  <c r="BF35"/>
  <c r="BJ35"/>
  <c r="BN35"/>
  <c r="BR35"/>
  <c r="BV35"/>
  <c r="CD35"/>
  <c r="CH35"/>
  <c r="CL35"/>
  <c r="CP35"/>
  <c r="CT35"/>
  <c r="CX35"/>
  <c r="DF35"/>
  <c r="BB37"/>
  <c r="BF37"/>
  <c r="BJ37"/>
  <c r="BN37"/>
  <c r="BR37"/>
  <c r="BV37"/>
  <c r="CD37"/>
  <c r="CH37"/>
  <c r="CL37"/>
  <c r="CP37"/>
  <c r="I7"/>
  <c r="BL26"/>
  <c r="CN26"/>
  <c r="DH27"/>
  <c r="DH31" s="1"/>
  <c r="DF27"/>
  <c r="DD27"/>
  <c r="CZ27"/>
  <c r="CZ31" s="1"/>
  <c r="CX27"/>
  <c r="CV27"/>
  <c r="CV31" s="1"/>
  <c r="CT27"/>
  <c r="CR27"/>
  <c r="CR31" s="1"/>
  <c r="CP27"/>
  <c r="CL27"/>
  <c r="CJ27"/>
  <c r="CJ31" s="1"/>
  <c r="CH27"/>
  <c r="CF27"/>
  <c r="CF31" s="1"/>
  <c r="CD27"/>
  <c r="CB27"/>
  <c r="BX27"/>
  <c r="BX31" s="1"/>
  <c r="BV27"/>
  <c r="BT27"/>
  <c r="BT31" s="1"/>
  <c r="BR27"/>
  <c r="BP27"/>
  <c r="BP31" s="1"/>
  <c r="BN27"/>
  <c r="BJ27"/>
  <c r="BH27"/>
  <c r="BH31" s="1"/>
  <c r="BF27"/>
  <c r="BD27"/>
  <c r="BD31" s="1"/>
  <c r="BB27"/>
  <c r="AZ27"/>
  <c r="AV27"/>
  <c r="AV31" s="1"/>
  <c r="AT27"/>
  <c r="AR27"/>
  <c r="AR31" s="1"/>
  <c r="AP27"/>
  <c r="AN27"/>
  <c r="AN31" s="1"/>
  <c r="AL27"/>
  <c r="AI27"/>
  <c r="AM27"/>
  <c r="AQ27"/>
  <c r="AU27"/>
  <c r="BC27"/>
  <c r="BG27"/>
  <c r="BK27"/>
  <c r="BO27"/>
  <c r="BS27"/>
  <c r="BW27"/>
  <c r="CE27"/>
  <c r="CI27"/>
  <c r="CM27"/>
  <c r="CQ27"/>
  <c r="CU27"/>
  <c r="CY27"/>
  <c r="DG27"/>
  <c r="I84"/>
  <c r="DG33"/>
  <c r="DE33"/>
  <c r="DA33"/>
  <c r="CY33"/>
  <c r="CW33"/>
  <c r="CU33"/>
  <c r="CS33"/>
  <c r="CQ33"/>
  <c r="CM33"/>
  <c r="CK33"/>
  <c r="CI33"/>
  <c r="CG33"/>
  <c r="CE33"/>
  <c r="CC33"/>
  <c r="BY33"/>
  <c r="BW33"/>
  <c r="BU33"/>
  <c r="BS33"/>
  <c r="BQ33"/>
  <c r="BO33"/>
  <c r="BK33"/>
  <c r="BI33"/>
  <c r="BG33"/>
  <c r="BE33"/>
  <c r="BC33"/>
  <c r="BA33"/>
  <c r="AW33"/>
  <c r="AU33"/>
  <c r="AU84" s="1"/>
  <c r="AS33"/>
  <c r="AS84" s="1"/>
  <c r="AQ33"/>
  <c r="AK84"/>
  <c r="AT33"/>
  <c r="BB33"/>
  <c r="BF33"/>
  <c r="BJ33"/>
  <c r="BN33"/>
  <c r="BR33"/>
  <c r="BV33"/>
  <c r="CD33"/>
  <c r="CH33"/>
  <c r="CL33"/>
  <c r="CP33"/>
  <c r="CT33"/>
  <c r="CX33"/>
  <c r="DF33"/>
  <c r="DP35"/>
  <c r="DH37"/>
  <c r="DF37"/>
  <c r="DD37"/>
  <c r="CZ37"/>
  <c r="CX37"/>
  <c r="DI37"/>
  <c r="DG37"/>
  <c r="DE37"/>
  <c r="DA37"/>
  <c r="CY37"/>
  <c r="CW37"/>
  <c r="CU37"/>
  <c r="CS37"/>
  <c r="CQ37"/>
  <c r="CM37"/>
  <c r="CK37"/>
  <c r="CI37"/>
  <c r="CG37"/>
  <c r="CE37"/>
  <c r="CC37"/>
  <c r="BY37"/>
  <c r="BW37"/>
  <c r="BU37"/>
  <c r="BS37"/>
  <c r="BQ37"/>
  <c r="BO37"/>
  <c r="BK37"/>
  <c r="BI37"/>
  <c r="BG37"/>
  <c r="BE37"/>
  <c r="BC37"/>
  <c r="BA37"/>
  <c r="AW37"/>
  <c r="AV37"/>
  <c r="AX37" s="1"/>
  <c r="AZ37"/>
  <c r="BD37"/>
  <c r="BH37"/>
  <c r="BP37"/>
  <c r="BT37"/>
  <c r="BX37"/>
  <c r="CB37"/>
  <c r="CF37"/>
  <c r="CJ37"/>
  <c r="CR37"/>
  <c r="CV37"/>
  <c r="CV23"/>
  <c r="CX23"/>
  <c r="CZ23"/>
  <c r="DD23"/>
  <c r="DF23"/>
  <c r="AK26"/>
  <c r="BU28"/>
  <c r="BW28"/>
  <c r="BY28"/>
  <c r="CC28"/>
  <c r="CE28"/>
  <c r="CG28"/>
  <c r="CI28"/>
  <c r="CK28"/>
  <c r="CM28"/>
  <c r="CQ28"/>
  <c r="CS28"/>
  <c r="CU28"/>
  <c r="CW28"/>
  <c r="CY28"/>
  <c r="DA28"/>
  <c r="DE28"/>
  <c r="DG28"/>
  <c r="DG30"/>
  <c r="DP30" s="1"/>
  <c r="AR34"/>
  <c r="AT34"/>
  <c r="AV34"/>
  <c r="AZ34"/>
  <c r="BB34"/>
  <c r="BD34"/>
  <c r="BF34"/>
  <c r="BH34"/>
  <c r="BJ34"/>
  <c r="BN34"/>
  <c r="BP34"/>
  <c r="BR34"/>
  <c r="BT34"/>
  <c r="BV34"/>
  <c r="BX34"/>
  <c r="CB34"/>
  <c r="CD34"/>
  <c r="CF34"/>
  <c r="CH34"/>
  <c r="CJ34"/>
  <c r="CL34"/>
  <c r="CP34"/>
  <c r="CR34"/>
  <c r="CT34"/>
  <c r="CV34"/>
  <c r="CX34"/>
  <c r="CZ34"/>
  <c r="DD34"/>
  <c r="DF34"/>
  <c r="AR36"/>
  <c r="AT36"/>
  <c r="AV36"/>
  <c r="AZ36"/>
  <c r="BB36"/>
  <c r="BD36"/>
  <c r="BF36"/>
  <c r="BH36"/>
  <c r="BJ36"/>
  <c r="BN36"/>
  <c r="BP36"/>
  <c r="BR36"/>
  <c r="BT36"/>
  <c r="BV36"/>
  <c r="BX36"/>
  <c r="CB36"/>
  <c r="CD36"/>
  <c r="CF36"/>
  <c r="CH36"/>
  <c r="CJ36"/>
  <c r="CL36"/>
  <c r="CP36"/>
  <c r="CR36"/>
  <c r="CT36"/>
  <c r="CV36"/>
  <c r="CX36"/>
  <c r="CZ36"/>
  <c r="DD36"/>
  <c r="DF36"/>
  <c r="AW38"/>
  <c r="BA38"/>
  <c r="BC38"/>
  <c r="BE38"/>
  <c r="BG38"/>
  <c r="BI38"/>
  <c r="BK38"/>
  <c r="BO38"/>
  <c r="BQ38"/>
  <c r="BS38"/>
  <c r="BU38"/>
  <c r="BW38"/>
  <c r="BY38"/>
  <c r="CC38"/>
  <c r="CE38"/>
  <c r="CG38"/>
  <c r="CI38"/>
  <c r="CK38"/>
  <c r="CM38"/>
  <c r="CQ38"/>
  <c r="CS38"/>
  <c r="CU38"/>
  <c r="CW38"/>
  <c r="CY38"/>
  <c r="DA38"/>
  <c r="DE38"/>
  <c r="DG38"/>
  <c r="DI38"/>
  <c r="AW39"/>
  <c r="BA39"/>
  <c r="BC39"/>
  <c r="BE39"/>
  <c r="BG39"/>
  <c r="BI39"/>
  <c r="BK39"/>
  <c r="BO39"/>
  <c r="BQ39"/>
  <c r="BS39"/>
  <c r="BU39"/>
  <c r="BW39"/>
  <c r="BY39"/>
  <c r="CC39"/>
  <c r="CE39"/>
  <c r="CG39"/>
  <c r="CI39"/>
  <c r="CK39"/>
  <c r="CM39"/>
  <c r="CQ39"/>
  <c r="CS39"/>
  <c r="CU39"/>
  <c r="CW39"/>
  <c r="CY39"/>
  <c r="DA39"/>
  <c r="DE39"/>
  <c r="DG39"/>
  <c r="DI39"/>
  <c r="BE40"/>
  <c r="BG40"/>
  <c r="BI40"/>
  <c r="BK40"/>
  <c r="BO40"/>
  <c r="BQ40"/>
  <c r="BS40"/>
  <c r="BU40"/>
  <c r="BW40"/>
  <c r="BY40"/>
  <c r="CC40"/>
  <c r="CE40"/>
  <c r="CG40"/>
  <c r="CI40"/>
  <c r="CK40"/>
  <c r="CM40"/>
  <c r="CQ40"/>
  <c r="CS40"/>
  <c r="CU40"/>
  <c r="CW40"/>
  <c r="CY40"/>
  <c r="DA40"/>
  <c r="DE40"/>
  <c r="DG40"/>
  <c r="DI40"/>
  <c r="BE41"/>
  <c r="BG41"/>
  <c r="BI41"/>
  <c r="BK41"/>
  <c r="BO41"/>
  <c r="BQ41"/>
  <c r="BS41"/>
  <c r="BU41"/>
  <c r="BW41"/>
  <c r="BY41"/>
  <c r="CC41"/>
  <c r="CE41"/>
  <c r="CG41"/>
  <c r="CI41"/>
  <c r="CK41"/>
  <c r="CM41"/>
  <c r="CQ41"/>
  <c r="CS41"/>
  <c r="CU41"/>
  <c r="CW41"/>
  <c r="CY41"/>
  <c r="DA41"/>
  <c r="DE41"/>
  <c r="DG41"/>
  <c r="DI41"/>
  <c r="BE42"/>
  <c r="BG42"/>
  <c r="BI42"/>
  <c r="BK42"/>
  <c r="BO42"/>
  <c r="BQ42"/>
  <c r="BS42"/>
  <c r="BU42"/>
  <c r="BW42"/>
  <c r="BY42"/>
  <c r="CC42"/>
  <c r="CE42"/>
  <c r="CG42"/>
  <c r="CI42"/>
  <c r="CK42"/>
  <c r="CM42"/>
  <c r="CQ42"/>
  <c r="CS42"/>
  <c r="CU42"/>
  <c r="CW42"/>
  <c r="CY42"/>
  <c r="DA42"/>
  <c r="DE42"/>
  <c r="DG42"/>
  <c r="DI42"/>
  <c r="BE43"/>
  <c r="BG43"/>
  <c r="BI43"/>
  <c r="BK43"/>
  <c r="BO43"/>
  <c r="BQ43"/>
  <c r="BS43"/>
  <c r="BU43"/>
  <c r="BW43"/>
  <c r="BY43"/>
  <c r="CC43"/>
  <c r="CE43"/>
  <c r="CG43"/>
  <c r="CI43"/>
  <c r="CK43"/>
  <c r="CM43"/>
  <c r="CQ43"/>
  <c r="CS43"/>
  <c r="CU43"/>
  <c r="CW43"/>
  <c r="CY43"/>
  <c r="DA43"/>
  <c r="DE43"/>
  <c r="DG43"/>
  <c r="DI43"/>
  <c r="BE44"/>
  <c r="BG44"/>
  <c r="BI44"/>
  <c r="BK44"/>
  <c r="BO44"/>
  <c r="BQ44"/>
  <c r="BS44"/>
  <c r="BU44"/>
  <c r="BW44"/>
  <c r="BY44"/>
  <c r="CC44"/>
  <c r="CE44"/>
  <c r="CG44"/>
  <c r="CI44"/>
  <c r="CK44"/>
  <c r="CM44"/>
  <c r="CQ44"/>
  <c r="CS44"/>
  <c r="CU44"/>
  <c r="CW44"/>
  <c r="CY44"/>
  <c r="DA44"/>
  <c r="DE44"/>
  <c r="DG44"/>
  <c r="DI44"/>
  <c r="BK45"/>
  <c r="BL45" s="1"/>
  <c r="BM45" s="1"/>
  <c r="BO45"/>
  <c r="BQ45"/>
  <c r="BS45"/>
  <c r="BU45"/>
  <c r="BW45"/>
  <c r="BY45"/>
  <c r="CC45"/>
  <c r="CE45"/>
  <c r="CG45"/>
  <c r="CI45"/>
  <c r="CK45"/>
  <c r="CM45"/>
  <c r="CQ45"/>
  <c r="CS45"/>
  <c r="CU45"/>
  <c r="CW45"/>
  <c r="CY45"/>
  <c r="DA45"/>
  <c r="DE45"/>
  <c r="DG45"/>
  <c r="DI45"/>
  <c r="BK46"/>
  <c r="BL46" s="1"/>
  <c r="BM46" s="1"/>
  <c r="BO46"/>
  <c r="BQ46"/>
  <c r="BS46"/>
  <c r="BU46"/>
  <c r="BW46"/>
  <c r="BY46"/>
  <c r="CC46"/>
  <c r="CE46"/>
  <c r="CG46"/>
  <c r="CI46"/>
  <c r="CK46"/>
  <c r="CM46"/>
  <c r="CQ46"/>
  <c r="CS46"/>
  <c r="CU46"/>
  <c r="CW46"/>
  <c r="CY46"/>
  <c r="DA46"/>
  <c r="DE46"/>
  <c r="DG46"/>
  <c r="DI46"/>
  <c r="BK47"/>
  <c r="BL47" s="1"/>
  <c r="BM47" s="1"/>
  <c r="BO47"/>
  <c r="BQ47"/>
  <c r="BS47"/>
  <c r="BU47"/>
  <c r="BW47"/>
  <c r="BY47"/>
  <c r="CC47"/>
  <c r="CE47"/>
  <c r="CG47"/>
  <c r="CI47"/>
  <c r="CK47"/>
  <c r="CM47"/>
  <c r="CQ47"/>
  <c r="CS47"/>
  <c r="CU47"/>
  <c r="CW47"/>
  <c r="CY47"/>
  <c r="DA47"/>
  <c r="DE47"/>
  <c r="DG47"/>
  <c r="DI47"/>
  <c r="BK48"/>
  <c r="BL48" s="1"/>
  <c r="BM48" s="1"/>
  <c r="BO48"/>
  <c r="BQ48"/>
  <c r="BS48"/>
  <c r="BU48"/>
  <c r="BW48"/>
  <c r="BY48"/>
  <c r="CC48"/>
  <c r="CE48"/>
  <c r="CG48"/>
  <c r="CI48"/>
  <c r="CK48"/>
  <c r="CM48"/>
  <c r="CQ48"/>
  <c r="CS48"/>
  <c r="CU48"/>
  <c r="CW48"/>
  <c r="CY48"/>
  <c r="DA48"/>
  <c r="DE48"/>
  <c r="DG48"/>
  <c r="DI48"/>
  <c r="BK49"/>
  <c r="BL49" s="1"/>
  <c r="BM49" s="1"/>
  <c r="BO49"/>
  <c r="BQ49"/>
  <c r="BS49"/>
  <c r="BU49"/>
  <c r="BW49"/>
  <c r="BY49"/>
  <c r="CC49"/>
  <c r="CE49"/>
  <c r="CG49"/>
  <c r="CI49"/>
  <c r="CK49"/>
  <c r="CM49"/>
  <c r="CQ49"/>
  <c r="CS49"/>
  <c r="CU49"/>
  <c r="CW49"/>
  <c r="CY49"/>
  <c r="DA49"/>
  <c r="DE49"/>
  <c r="DG49"/>
  <c r="DI49"/>
  <c r="BK50"/>
  <c r="BL50" s="1"/>
  <c r="BM50" s="1"/>
  <c r="BO50"/>
  <c r="BQ50"/>
  <c r="BS50"/>
  <c r="BU50"/>
  <c r="BW50"/>
  <c r="BY50"/>
  <c r="CC50"/>
  <c r="CE50"/>
  <c r="CG50"/>
  <c r="CI50"/>
  <c r="CK50"/>
  <c r="CM50"/>
  <c r="CQ50"/>
  <c r="CS50"/>
  <c r="CU50"/>
  <c r="CW50"/>
  <c r="CY50"/>
  <c r="DA50"/>
  <c r="DE50"/>
  <c r="DG50"/>
  <c r="DI50"/>
  <c r="BW51"/>
  <c r="BY51"/>
  <c r="CC51"/>
  <c r="CE51"/>
  <c r="CG51"/>
  <c r="CI51"/>
  <c r="CK51"/>
  <c r="CM51"/>
  <c r="CQ51"/>
  <c r="CS51"/>
  <c r="CU51"/>
  <c r="CW51"/>
  <c r="CY51"/>
  <c r="DA51"/>
  <c r="DE51"/>
  <c r="DG51"/>
  <c r="DI51"/>
  <c r="BX52"/>
  <c r="CB52"/>
  <c r="CD52"/>
  <c r="CF52"/>
  <c r="CH52"/>
  <c r="CJ52"/>
  <c r="CL52"/>
  <c r="CP52"/>
  <c r="CR52"/>
  <c r="CT52"/>
  <c r="CV52"/>
  <c r="CX52"/>
  <c r="CZ52"/>
  <c r="DD52"/>
  <c r="DF52"/>
  <c r="DH52"/>
  <c r="BY53"/>
  <c r="BZ53" s="1"/>
  <c r="CA53" s="1"/>
  <c r="CC53"/>
  <c r="CE53"/>
  <c r="CG53"/>
  <c r="CI53"/>
  <c r="CK53"/>
  <c r="CM53"/>
  <c r="CQ53"/>
  <c r="CS53"/>
  <c r="CU53"/>
  <c r="CW53"/>
  <c r="CY53"/>
  <c r="DA53"/>
  <c r="DE53"/>
  <c r="DG53"/>
  <c r="CF54"/>
  <c r="CH54"/>
  <c r="CJ54"/>
  <c r="CL54"/>
  <c r="CP54"/>
  <c r="CR54"/>
  <c r="CT54"/>
  <c r="CV54"/>
  <c r="CX54"/>
  <c r="CZ54"/>
  <c r="DD54"/>
  <c r="DF54"/>
  <c r="DH54"/>
  <c r="CG55"/>
  <c r="CI55"/>
  <c r="CK55"/>
  <c r="CM55"/>
  <c r="CQ55"/>
  <c r="CS55"/>
  <c r="CU55"/>
  <c r="CW55"/>
  <c r="CY55"/>
  <c r="DA55"/>
  <c r="DE55"/>
  <c r="DP55" s="1"/>
  <c r="DG55"/>
  <c r="CF56"/>
  <c r="CH56"/>
  <c r="CJ56"/>
  <c r="CL56"/>
  <c r="CP56"/>
  <c r="CR56"/>
  <c r="CT56"/>
  <c r="CV56"/>
  <c r="CX56"/>
  <c r="CZ56"/>
  <c r="DD56"/>
  <c r="DF56"/>
  <c r="DH56"/>
  <c r="CG57"/>
  <c r="CI57"/>
  <c r="CK57"/>
  <c r="CM57"/>
  <c r="CQ57"/>
  <c r="CS57"/>
  <c r="CU57"/>
  <c r="CW57"/>
  <c r="CY57"/>
  <c r="DA57"/>
  <c r="DE57"/>
  <c r="DG57"/>
  <c r="CF58"/>
  <c r="CH58"/>
  <c r="CJ58"/>
  <c r="CL58"/>
  <c r="CP58"/>
  <c r="CR58"/>
  <c r="CT58"/>
  <c r="CV58"/>
  <c r="CX58"/>
  <c r="CZ58"/>
  <c r="DD58"/>
  <c r="DF58"/>
  <c r="DH58"/>
  <c r="CG59"/>
  <c r="CI59"/>
  <c r="CK59"/>
  <c r="CM59"/>
  <c r="CQ59"/>
  <c r="CS59"/>
  <c r="CU59"/>
  <c r="CW59"/>
  <c r="CY59"/>
  <c r="DA59"/>
  <c r="DE59"/>
  <c r="DP59" s="1"/>
  <c r="DG59"/>
  <c r="CF60"/>
  <c r="CH60"/>
  <c r="CJ60"/>
  <c r="CL60"/>
  <c r="CP60"/>
  <c r="CR60"/>
  <c r="CT60"/>
  <c r="CV60"/>
  <c r="CX60"/>
  <c r="CZ60"/>
  <c r="DD60"/>
  <c r="DF60"/>
  <c r="DH60"/>
  <c r="CJ61"/>
  <c r="CL61"/>
  <c r="CP61"/>
  <c r="CR61"/>
  <c r="CT61"/>
  <c r="CV61"/>
  <c r="CX61"/>
  <c r="CZ61"/>
  <c r="DD61"/>
  <c r="DF61"/>
  <c r="CJ62"/>
  <c r="CL62"/>
  <c r="CP62"/>
  <c r="CR62"/>
  <c r="CT62"/>
  <c r="CV62"/>
  <c r="CX62"/>
  <c r="CZ62"/>
  <c r="DD62"/>
  <c r="DF62"/>
  <c r="CJ63"/>
  <c r="CL63"/>
  <c r="CP63"/>
  <c r="CR63"/>
  <c r="CT63"/>
  <c r="CV63"/>
  <c r="CX63"/>
  <c r="CZ63"/>
  <c r="DD63"/>
  <c r="DF63"/>
  <c r="CJ64"/>
  <c r="CL64"/>
  <c r="CP64"/>
  <c r="CR64"/>
  <c r="CT64"/>
  <c r="CV64"/>
  <c r="CX64"/>
  <c r="CZ64"/>
  <c r="DD64"/>
  <c r="DF64"/>
  <c r="CP65"/>
  <c r="CR65"/>
  <c r="CT65"/>
  <c r="CV65"/>
  <c r="CX65"/>
  <c r="CZ65"/>
  <c r="DD65"/>
  <c r="DF65"/>
  <c r="CP66"/>
  <c r="CR66"/>
  <c r="CT66"/>
  <c r="CV66"/>
  <c r="CX66"/>
  <c r="CZ66"/>
  <c r="DD66"/>
  <c r="DF66"/>
  <c r="CP67"/>
  <c r="CR67"/>
  <c r="CT67"/>
  <c r="CV67"/>
  <c r="CX67"/>
  <c r="CZ67"/>
  <c r="DD67"/>
  <c r="DF67"/>
  <c r="CP68"/>
  <c r="CR68"/>
  <c r="CT68"/>
  <c r="CV68"/>
  <c r="CX68"/>
  <c r="CZ68"/>
  <c r="DD68"/>
  <c r="DF68"/>
  <c r="CP69"/>
  <c r="CR69"/>
  <c r="CT69"/>
  <c r="CV69"/>
  <c r="CX69"/>
  <c r="CZ69"/>
  <c r="DD69"/>
  <c r="DF69"/>
  <c r="CP70"/>
  <c r="CR70"/>
  <c r="CT70"/>
  <c r="CV70"/>
  <c r="CX70"/>
  <c r="CZ70"/>
  <c r="DD70"/>
  <c r="DF70"/>
  <c r="CP71"/>
  <c r="CR71"/>
  <c r="CT71"/>
  <c r="CV71"/>
  <c r="CX71"/>
  <c r="CZ71"/>
  <c r="DD71"/>
  <c r="DF71"/>
  <c r="CP72"/>
  <c r="CR72"/>
  <c r="CT72"/>
  <c r="CV72"/>
  <c r="CX72"/>
  <c r="CZ72"/>
  <c r="DD72"/>
  <c r="DF72"/>
  <c r="CU73"/>
  <c r="CW73"/>
  <c r="CY73"/>
  <c r="DA73"/>
  <c r="DE73"/>
  <c r="DG73"/>
  <c r="CW74"/>
  <c r="CY74"/>
  <c r="DA74"/>
  <c r="DE74"/>
  <c r="DG74"/>
  <c r="DI74"/>
  <c r="CW75"/>
  <c r="CY75"/>
  <c r="DA75"/>
  <c r="DE75"/>
  <c r="DG75"/>
  <c r="DI75"/>
  <c r="CY76"/>
  <c r="DA76"/>
  <c r="DE76"/>
  <c r="DG76"/>
  <c r="DI76"/>
  <c r="CY77"/>
  <c r="DA77"/>
  <c r="DE77"/>
  <c r="DG77"/>
  <c r="DI77"/>
  <c r="CZ78"/>
  <c r="DD78"/>
  <c r="DF78"/>
  <c r="DH78"/>
  <c r="DG79"/>
  <c r="DP79" s="1"/>
  <c r="DF80"/>
  <c r="DH80"/>
  <c r="DP81"/>
  <c r="DP82"/>
  <c r="DP83"/>
  <c r="I171"/>
  <c r="DH86"/>
  <c r="DF86"/>
  <c r="DD86"/>
  <c r="CZ86"/>
  <c r="CX86"/>
  <c r="CV86"/>
  <c r="CT86"/>
  <c r="CR86"/>
  <c r="CP86"/>
  <c r="CL86"/>
  <c r="CJ86"/>
  <c r="CH86"/>
  <c r="CF86"/>
  <c r="CD86"/>
  <c r="CB86"/>
  <c r="BX86"/>
  <c r="BV86"/>
  <c r="BT86"/>
  <c r="BR86"/>
  <c r="BP86"/>
  <c r="BN86"/>
  <c r="BJ86"/>
  <c r="BH86"/>
  <c r="BF86"/>
  <c r="BD86"/>
  <c r="AT86"/>
  <c r="AV86"/>
  <c r="AZ86"/>
  <c r="BB86"/>
  <c r="BE86"/>
  <c r="BI86"/>
  <c r="BQ86"/>
  <c r="BU86"/>
  <c r="BY86"/>
  <c r="CC86"/>
  <c r="CG86"/>
  <c r="CK86"/>
  <c r="CS86"/>
  <c r="CW86"/>
  <c r="DA86"/>
  <c r="DE86"/>
  <c r="DI86"/>
  <c r="AV38"/>
  <c r="AX38" s="1"/>
  <c r="AZ38"/>
  <c r="BB38"/>
  <c r="BD38"/>
  <c r="BF38"/>
  <c r="BH38"/>
  <c r="BJ38"/>
  <c r="BN38"/>
  <c r="BP38"/>
  <c r="BR38"/>
  <c r="BT38"/>
  <c r="BV38"/>
  <c r="BX38"/>
  <c r="CB38"/>
  <c r="CD38"/>
  <c r="CF38"/>
  <c r="CH38"/>
  <c r="CJ38"/>
  <c r="CL38"/>
  <c r="CP38"/>
  <c r="CR38"/>
  <c r="CT38"/>
  <c r="CV38"/>
  <c r="CX38"/>
  <c r="CZ38"/>
  <c r="DD38"/>
  <c r="DF38"/>
  <c r="AZ39"/>
  <c r="BB39"/>
  <c r="BD39"/>
  <c r="BF39"/>
  <c r="BH39"/>
  <c r="BJ39"/>
  <c r="BN39"/>
  <c r="BP39"/>
  <c r="BR39"/>
  <c r="BT39"/>
  <c r="BV39"/>
  <c r="BX39"/>
  <c r="CB39"/>
  <c r="CD39"/>
  <c r="CF39"/>
  <c r="CH39"/>
  <c r="CJ39"/>
  <c r="CL39"/>
  <c r="CP39"/>
  <c r="CR39"/>
  <c r="CT39"/>
  <c r="CV39"/>
  <c r="CX39"/>
  <c r="CZ39"/>
  <c r="DD39"/>
  <c r="DF39"/>
  <c r="BD40"/>
  <c r="BF40"/>
  <c r="BH40"/>
  <c r="BJ40"/>
  <c r="BN40"/>
  <c r="BP40"/>
  <c r="BR40"/>
  <c r="BT40"/>
  <c r="BV40"/>
  <c r="BX40"/>
  <c r="CB40"/>
  <c r="CD40"/>
  <c r="CF40"/>
  <c r="CH40"/>
  <c r="CJ40"/>
  <c r="CL40"/>
  <c r="CP40"/>
  <c r="CR40"/>
  <c r="CT40"/>
  <c r="CV40"/>
  <c r="CX40"/>
  <c r="CZ40"/>
  <c r="DD40"/>
  <c r="DF40"/>
  <c r="BD41"/>
  <c r="BF41"/>
  <c r="BH41"/>
  <c r="BJ41"/>
  <c r="BN41"/>
  <c r="BP41"/>
  <c r="BR41"/>
  <c r="BT41"/>
  <c r="BV41"/>
  <c r="BX41"/>
  <c r="CB41"/>
  <c r="CD41"/>
  <c r="CF41"/>
  <c r="CH41"/>
  <c r="CJ41"/>
  <c r="CL41"/>
  <c r="CP41"/>
  <c r="CR41"/>
  <c r="CT41"/>
  <c r="CV41"/>
  <c r="CX41"/>
  <c r="CZ41"/>
  <c r="DD41"/>
  <c r="DF41"/>
  <c r="BD42"/>
  <c r="BF42"/>
  <c r="BH42"/>
  <c r="BJ42"/>
  <c r="BN42"/>
  <c r="BP42"/>
  <c r="BR42"/>
  <c r="BT42"/>
  <c r="BV42"/>
  <c r="BX42"/>
  <c r="CB42"/>
  <c r="CD42"/>
  <c r="CF42"/>
  <c r="CH42"/>
  <c r="CJ42"/>
  <c r="CL42"/>
  <c r="CP42"/>
  <c r="CR42"/>
  <c r="CT42"/>
  <c r="CV42"/>
  <c r="CX42"/>
  <c r="CZ42"/>
  <c r="DD42"/>
  <c r="DF42"/>
  <c r="BD43"/>
  <c r="BF43"/>
  <c r="BH43"/>
  <c r="BJ43"/>
  <c r="BN43"/>
  <c r="BP43"/>
  <c r="BR43"/>
  <c r="BT43"/>
  <c r="BV43"/>
  <c r="BX43"/>
  <c r="CB43"/>
  <c r="CD43"/>
  <c r="CF43"/>
  <c r="CH43"/>
  <c r="CJ43"/>
  <c r="CL43"/>
  <c r="CP43"/>
  <c r="CR43"/>
  <c r="CT43"/>
  <c r="CV43"/>
  <c r="CX43"/>
  <c r="CZ43"/>
  <c r="DD43"/>
  <c r="DF43"/>
  <c r="BD44"/>
  <c r="BF44"/>
  <c r="BH44"/>
  <c r="BJ44"/>
  <c r="BN44"/>
  <c r="BP44"/>
  <c r="BR44"/>
  <c r="BT44"/>
  <c r="BV44"/>
  <c r="BX44"/>
  <c r="CB44"/>
  <c r="CD44"/>
  <c r="CF44"/>
  <c r="CH44"/>
  <c r="CJ44"/>
  <c r="CL44"/>
  <c r="CP44"/>
  <c r="CR44"/>
  <c r="CT44"/>
  <c r="CV44"/>
  <c r="CX44"/>
  <c r="CZ44"/>
  <c r="DD44"/>
  <c r="DF44"/>
  <c r="BN45"/>
  <c r="BP45"/>
  <c r="BR45"/>
  <c r="BT45"/>
  <c r="BV45"/>
  <c r="BX45"/>
  <c r="CB45"/>
  <c r="CD45"/>
  <c r="CF45"/>
  <c r="CH45"/>
  <c r="CJ45"/>
  <c r="CL45"/>
  <c r="CP45"/>
  <c r="CR45"/>
  <c r="CT45"/>
  <c r="CV45"/>
  <c r="CX45"/>
  <c r="CZ45"/>
  <c r="DD45"/>
  <c r="DF45"/>
  <c r="BN46"/>
  <c r="BP46"/>
  <c r="BR46"/>
  <c r="BT46"/>
  <c r="BV46"/>
  <c r="BX46"/>
  <c r="CB46"/>
  <c r="CD46"/>
  <c r="CF46"/>
  <c r="CH46"/>
  <c r="CJ46"/>
  <c r="CL46"/>
  <c r="CP46"/>
  <c r="CR46"/>
  <c r="CT46"/>
  <c r="CV46"/>
  <c r="CX46"/>
  <c r="CZ46"/>
  <c r="DD46"/>
  <c r="DF46"/>
  <c r="BN47"/>
  <c r="BP47"/>
  <c r="BR47"/>
  <c r="BT47"/>
  <c r="BV47"/>
  <c r="BX47"/>
  <c r="CB47"/>
  <c r="CD47"/>
  <c r="CF47"/>
  <c r="CH47"/>
  <c r="CJ47"/>
  <c r="CL47"/>
  <c r="CP47"/>
  <c r="CR47"/>
  <c r="CT47"/>
  <c r="CV47"/>
  <c r="CX47"/>
  <c r="CZ47"/>
  <c r="DD47"/>
  <c r="DF47"/>
  <c r="BN48"/>
  <c r="BP48"/>
  <c r="BR48"/>
  <c r="BT48"/>
  <c r="BV48"/>
  <c r="BX48"/>
  <c r="CB48"/>
  <c r="CD48"/>
  <c r="CF48"/>
  <c r="CH48"/>
  <c r="CJ48"/>
  <c r="CL48"/>
  <c r="CP48"/>
  <c r="CR48"/>
  <c r="CT48"/>
  <c r="CV48"/>
  <c r="CX48"/>
  <c r="CZ48"/>
  <c r="DD48"/>
  <c r="DF48"/>
  <c r="BN49"/>
  <c r="BP49"/>
  <c r="BR49"/>
  <c r="BT49"/>
  <c r="BV49"/>
  <c r="BX49"/>
  <c r="CB49"/>
  <c r="CD49"/>
  <c r="CF49"/>
  <c r="CH49"/>
  <c r="CJ49"/>
  <c r="CL49"/>
  <c r="CP49"/>
  <c r="CR49"/>
  <c r="CT49"/>
  <c r="CV49"/>
  <c r="CX49"/>
  <c r="CZ49"/>
  <c r="DD49"/>
  <c r="DF49"/>
  <c r="BN50"/>
  <c r="BP50"/>
  <c r="BR50"/>
  <c r="BT50"/>
  <c r="BV50"/>
  <c r="BX50"/>
  <c r="CB50"/>
  <c r="CD50"/>
  <c r="CF50"/>
  <c r="CH50"/>
  <c r="CJ50"/>
  <c r="CL50"/>
  <c r="CP50"/>
  <c r="CR50"/>
  <c r="CT50"/>
  <c r="CV50"/>
  <c r="CX50"/>
  <c r="CZ50"/>
  <c r="DD50"/>
  <c r="DF50"/>
  <c r="BX51"/>
  <c r="CB51"/>
  <c r="CD51"/>
  <c r="CF51"/>
  <c r="CH51"/>
  <c r="CJ51"/>
  <c r="CL51"/>
  <c r="CP51"/>
  <c r="CR51"/>
  <c r="CT51"/>
  <c r="CV51"/>
  <c r="CX51"/>
  <c r="CZ51"/>
  <c r="DD51"/>
  <c r="DF51"/>
  <c r="BY52"/>
  <c r="CC52"/>
  <c r="CE52"/>
  <c r="CG52"/>
  <c r="CI52"/>
  <c r="CK52"/>
  <c r="CM52"/>
  <c r="CQ52"/>
  <c r="CS52"/>
  <c r="CU52"/>
  <c r="CW52"/>
  <c r="CY52"/>
  <c r="DA52"/>
  <c r="DE52"/>
  <c r="DG52"/>
  <c r="CG54"/>
  <c r="CI54"/>
  <c r="CK54"/>
  <c r="CM54"/>
  <c r="CQ54"/>
  <c r="CS54"/>
  <c r="CU54"/>
  <c r="CW54"/>
  <c r="CY54"/>
  <c r="DA54"/>
  <c r="DE54"/>
  <c r="DG54"/>
  <c r="CG56"/>
  <c r="CI56"/>
  <c r="CK56"/>
  <c r="CM56"/>
  <c r="CQ56"/>
  <c r="CS56"/>
  <c r="CU56"/>
  <c r="CW56"/>
  <c r="CY56"/>
  <c r="DA56"/>
  <c r="DE56"/>
  <c r="DG56"/>
  <c r="CG58"/>
  <c r="CI58"/>
  <c r="CK58"/>
  <c r="CM58"/>
  <c r="CQ58"/>
  <c r="CS58"/>
  <c r="CU58"/>
  <c r="CW58"/>
  <c r="CY58"/>
  <c r="DA58"/>
  <c r="DE58"/>
  <c r="DG58"/>
  <c r="CG60"/>
  <c r="CI60"/>
  <c r="CK60"/>
  <c r="CM60"/>
  <c r="CQ60"/>
  <c r="CS60"/>
  <c r="CU60"/>
  <c r="CW60"/>
  <c r="CY60"/>
  <c r="DA60"/>
  <c r="DE60"/>
  <c r="DG60"/>
  <c r="CX74"/>
  <c r="CZ74"/>
  <c r="DD74"/>
  <c r="DF74"/>
  <c r="CX75"/>
  <c r="CZ75"/>
  <c r="DD75"/>
  <c r="DF75"/>
  <c r="CZ76"/>
  <c r="DD76"/>
  <c r="DF76"/>
  <c r="CZ77"/>
  <c r="DD77"/>
  <c r="DF77"/>
  <c r="DA78"/>
  <c r="DE78"/>
  <c r="DG78"/>
  <c r="DG80"/>
  <c r="H171"/>
  <c r="AU86"/>
  <c r="AU171" s="1"/>
  <c r="AW86"/>
  <c r="BA86"/>
  <c r="BC86"/>
  <c r="BG86"/>
  <c r="BK86"/>
  <c r="BO86"/>
  <c r="BS86"/>
  <c r="BW86"/>
  <c r="CE86"/>
  <c r="CI86"/>
  <c r="CM86"/>
  <c r="CQ86"/>
  <c r="CU86"/>
  <c r="CY86"/>
  <c r="DG86"/>
  <c r="AY92"/>
  <c r="AY93"/>
  <c r="AY94"/>
  <c r="AY95"/>
  <c r="CS95"/>
  <c r="CW95"/>
  <c r="DA95"/>
  <c r="DE95"/>
  <c r="AT87"/>
  <c r="AV87"/>
  <c r="AZ87"/>
  <c r="BB87"/>
  <c r="BD87"/>
  <c r="BF87"/>
  <c r="BH87"/>
  <c r="BJ87"/>
  <c r="BN87"/>
  <c r="BP87"/>
  <c r="BR87"/>
  <c r="BT87"/>
  <c r="BV87"/>
  <c r="BX87"/>
  <c r="CB87"/>
  <c r="CD87"/>
  <c r="CF87"/>
  <c r="CH87"/>
  <c r="CJ87"/>
  <c r="CL87"/>
  <c r="CP87"/>
  <c r="CR87"/>
  <c r="CT87"/>
  <c r="CV87"/>
  <c r="CX87"/>
  <c r="CZ87"/>
  <c r="DD87"/>
  <c r="DF87"/>
  <c r="AT88"/>
  <c r="AV88"/>
  <c r="AZ88"/>
  <c r="BB88"/>
  <c r="BD88"/>
  <c r="BF88"/>
  <c r="BH88"/>
  <c r="BJ88"/>
  <c r="BN88"/>
  <c r="BP88"/>
  <c r="BR88"/>
  <c r="BT88"/>
  <c r="BV88"/>
  <c r="BX88"/>
  <c r="CB88"/>
  <c r="CD88"/>
  <c r="CF88"/>
  <c r="CH88"/>
  <c r="CJ88"/>
  <c r="CL88"/>
  <c r="CP88"/>
  <c r="CR88"/>
  <c r="CT88"/>
  <c r="CV88"/>
  <c r="CX88"/>
  <c r="CZ88"/>
  <c r="DD88"/>
  <c r="DF88"/>
  <c r="AT89"/>
  <c r="AV89"/>
  <c r="AZ89"/>
  <c r="BB89"/>
  <c r="BD89"/>
  <c r="BF89"/>
  <c r="BH89"/>
  <c r="BJ89"/>
  <c r="BN89"/>
  <c r="BP89"/>
  <c r="BR89"/>
  <c r="BT89"/>
  <c r="BV89"/>
  <c r="BX89"/>
  <c r="CB89"/>
  <c r="CD89"/>
  <c r="CF89"/>
  <c r="CH89"/>
  <c r="CJ89"/>
  <c r="CL89"/>
  <c r="CP89"/>
  <c r="CR89"/>
  <c r="CT89"/>
  <c r="CV89"/>
  <c r="CX89"/>
  <c r="CZ89"/>
  <c r="DD89"/>
  <c r="DF89"/>
  <c r="AT90"/>
  <c r="AV90"/>
  <c r="AZ90"/>
  <c r="BB90"/>
  <c r="BD90"/>
  <c r="BF90"/>
  <c r="BH90"/>
  <c r="BJ90"/>
  <c r="BN90"/>
  <c r="BP90"/>
  <c r="BR90"/>
  <c r="BT90"/>
  <c r="BV90"/>
  <c r="BX90"/>
  <c r="CB90"/>
  <c r="CD90"/>
  <c r="CF90"/>
  <c r="CH90"/>
  <c r="CJ90"/>
  <c r="CL90"/>
  <c r="CP90"/>
  <c r="CR90"/>
  <c r="CT90"/>
  <c r="CV90"/>
  <c r="CX90"/>
  <c r="CZ90"/>
  <c r="DD90"/>
  <c r="DF90"/>
  <c r="AT91"/>
  <c r="AV91"/>
  <c r="AZ91"/>
  <c r="BB91"/>
  <c r="BD91"/>
  <c r="BF91"/>
  <c r="BH91"/>
  <c r="BJ91"/>
  <c r="BN91"/>
  <c r="BP91"/>
  <c r="BR91"/>
  <c r="BT91"/>
  <c r="BV91"/>
  <c r="BX91"/>
  <c r="CB91"/>
  <c r="CD91"/>
  <c r="CF91"/>
  <c r="CH91"/>
  <c r="CJ91"/>
  <c r="CL91"/>
  <c r="CP91"/>
  <c r="CR91"/>
  <c r="CT91"/>
  <c r="CV91"/>
  <c r="CX91"/>
  <c r="CZ91"/>
  <c r="DD91"/>
  <c r="DF91"/>
  <c r="AZ92"/>
  <c r="BB92"/>
  <c r="BD92"/>
  <c r="BF92"/>
  <c r="BH92"/>
  <c r="BJ92"/>
  <c r="BN92"/>
  <c r="BP92"/>
  <c r="BR92"/>
  <c r="BT92"/>
  <c r="BV92"/>
  <c r="BX92"/>
  <c r="CB92"/>
  <c r="CD92"/>
  <c r="CF92"/>
  <c r="CH92"/>
  <c r="CJ92"/>
  <c r="CL92"/>
  <c r="CP92"/>
  <c r="CR92"/>
  <c r="CT92"/>
  <c r="CV92"/>
  <c r="CX92"/>
  <c r="CZ92"/>
  <c r="DD92"/>
  <c r="DF92"/>
  <c r="AZ93"/>
  <c r="BB93"/>
  <c r="BD93"/>
  <c r="BF93"/>
  <c r="BH93"/>
  <c r="BJ93"/>
  <c r="BN93"/>
  <c r="BP93"/>
  <c r="BR93"/>
  <c r="BT93"/>
  <c r="BV93"/>
  <c r="BX93"/>
  <c r="CB93"/>
  <c r="CD93"/>
  <c r="CF93"/>
  <c r="CH93"/>
  <c r="CJ93"/>
  <c r="CL93"/>
  <c r="CP93"/>
  <c r="CR93"/>
  <c r="CT93"/>
  <c r="CV93"/>
  <c r="CX93"/>
  <c r="CZ93"/>
  <c r="DD93"/>
  <c r="DF93"/>
  <c r="AZ94"/>
  <c r="BB94"/>
  <c r="BD94"/>
  <c r="BF94"/>
  <c r="BH94"/>
  <c r="BJ94"/>
  <c r="BN94"/>
  <c r="BP94"/>
  <c r="BR94"/>
  <c r="BT94"/>
  <c r="BV94"/>
  <c r="BX94"/>
  <c r="CB94"/>
  <c r="CD94"/>
  <c r="CF94"/>
  <c r="CH94"/>
  <c r="CJ94"/>
  <c r="CL94"/>
  <c r="CP94"/>
  <c r="CR94"/>
  <c r="CT94"/>
  <c r="CV94"/>
  <c r="CX94"/>
  <c r="CZ94"/>
  <c r="DD94"/>
  <c r="DF94"/>
  <c r="DH95"/>
  <c r="DF95"/>
  <c r="DD95"/>
  <c r="CZ95"/>
  <c r="CX95"/>
  <c r="CV95"/>
  <c r="CT95"/>
  <c r="CR95"/>
  <c r="CP95"/>
  <c r="CL95"/>
  <c r="CJ95"/>
  <c r="CH95"/>
  <c r="CF95"/>
  <c r="CD95"/>
  <c r="CB95"/>
  <c r="BX95"/>
  <c r="BV95"/>
  <c r="BT95"/>
  <c r="BR95"/>
  <c r="BP95"/>
  <c r="BN95"/>
  <c r="BJ95"/>
  <c r="AZ95"/>
  <c r="BB95"/>
  <c r="BD95"/>
  <c r="BF95"/>
  <c r="BH95"/>
  <c r="BK95"/>
  <c r="BO95"/>
  <c r="BS95"/>
  <c r="BW95"/>
  <c r="CE95"/>
  <c r="CI95"/>
  <c r="CM95"/>
  <c r="CQ95"/>
  <c r="CU95"/>
  <c r="CY95"/>
  <c r="DG95"/>
  <c r="AY96"/>
  <c r="DH100"/>
  <c r="DF100"/>
  <c r="DD100"/>
  <c r="CZ100"/>
  <c r="CX100"/>
  <c r="CV100"/>
  <c r="CT100"/>
  <c r="CR100"/>
  <c r="CP100"/>
  <c r="CL100"/>
  <c r="CJ100"/>
  <c r="CH100"/>
  <c r="CF100"/>
  <c r="CD100"/>
  <c r="CB100"/>
  <c r="BX100"/>
  <c r="BV100"/>
  <c r="BT100"/>
  <c r="BR100"/>
  <c r="BP100"/>
  <c r="BN100"/>
  <c r="BJ100"/>
  <c r="BH100"/>
  <c r="BF100"/>
  <c r="BD100"/>
  <c r="BC100"/>
  <c r="BG100"/>
  <c r="BK100"/>
  <c r="BO100"/>
  <c r="BS100"/>
  <c r="BW100"/>
  <c r="CE100"/>
  <c r="CI100"/>
  <c r="CM100"/>
  <c r="CQ100"/>
  <c r="CU100"/>
  <c r="CY100"/>
  <c r="DG100"/>
  <c r="DH102"/>
  <c r="DF102"/>
  <c r="DD102"/>
  <c r="CZ102"/>
  <c r="CX102"/>
  <c r="CV102"/>
  <c r="CT102"/>
  <c r="CR102"/>
  <c r="CP102"/>
  <c r="CL102"/>
  <c r="CJ102"/>
  <c r="CH102"/>
  <c r="CF102"/>
  <c r="CD102"/>
  <c r="CB102"/>
  <c r="BX102"/>
  <c r="BV102"/>
  <c r="BT102"/>
  <c r="BR102"/>
  <c r="BP102"/>
  <c r="BN102"/>
  <c r="BJ102"/>
  <c r="BQ102"/>
  <c r="BU102"/>
  <c r="BY102"/>
  <c r="CC102"/>
  <c r="CG102"/>
  <c r="CK102"/>
  <c r="CS102"/>
  <c r="CW102"/>
  <c r="DA102"/>
  <c r="DE102"/>
  <c r="DI102"/>
  <c r="DI96"/>
  <c r="DG96"/>
  <c r="DE96"/>
  <c r="DA96"/>
  <c r="CY96"/>
  <c r="CW96"/>
  <c r="CU96"/>
  <c r="CS96"/>
  <c r="CQ96"/>
  <c r="CM96"/>
  <c r="CK96"/>
  <c r="CI96"/>
  <c r="CG96"/>
  <c r="CE96"/>
  <c r="CC96"/>
  <c r="BY96"/>
  <c r="AZ96"/>
  <c r="BB96"/>
  <c r="BD96"/>
  <c r="BF96"/>
  <c r="BH96"/>
  <c r="BJ96"/>
  <c r="BN96"/>
  <c r="BP96"/>
  <c r="BR96"/>
  <c r="BT96"/>
  <c r="BV96"/>
  <c r="BX96"/>
  <c r="CB96"/>
  <c r="CF96"/>
  <c r="CJ96"/>
  <c r="CR96"/>
  <c r="CV96"/>
  <c r="CZ96"/>
  <c r="DD96"/>
  <c r="DP96" s="1"/>
  <c r="DH96"/>
  <c r="DI97"/>
  <c r="DG97"/>
  <c r="DE97"/>
  <c r="DA97"/>
  <c r="CY97"/>
  <c r="CW97"/>
  <c r="CU97"/>
  <c r="CS97"/>
  <c r="CQ97"/>
  <c r="CM97"/>
  <c r="CK97"/>
  <c r="CI97"/>
  <c r="CG97"/>
  <c r="CE97"/>
  <c r="CC97"/>
  <c r="BY97"/>
  <c r="BW97"/>
  <c r="BU97"/>
  <c r="BS97"/>
  <c r="BQ97"/>
  <c r="BO97"/>
  <c r="BK97"/>
  <c r="BI97"/>
  <c r="BG97"/>
  <c r="BE97"/>
  <c r="BC97"/>
  <c r="BA97"/>
  <c r="AW97"/>
  <c r="AZ97"/>
  <c r="BD97"/>
  <c r="BH97"/>
  <c r="BP97"/>
  <c r="BT97"/>
  <c r="BX97"/>
  <c r="CB97"/>
  <c r="CF97"/>
  <c r="CJ97"/>
  <c r="CR97"/>
  <c r="CV97"/>
  <c r="CZ97"/>
  <c r="DD97"/>
  <c r="DP97" s="1"/>
  <c r="DH97"/>
  <c r="DI98"/>
  <c r="DG98"/>
  <c r="DE98"/>
  <c r="DA98"/>
  <c r="CY98"/>
  <c r="CW98"/>
  <c r="CU98"/>
  <c r="CS98"/>
  <c r="CQ98"/>
  <c r="CM98"/>
  <c r="CK98"/>
  <c r="CI98"/>
  <c r="CG98"/>
  <c r="CE98"/>
  <c r="CC98"/>
  <c r="BY98"/>
  <c r="BW98"/>
  <c r="BU98"/>
  <c r="BS98"/>
  <c r="BQ98"/>
  <c r="BO98"/>
  <c r="BK98"/>
  <c r="BI98"/>
  <c r="BG98"/>
  <c r="BE98"/>
  <c r="BC98"/>
  <c r="BA98"/>
  <c r="AW98"/>
  <c r="AZ98"/>
  <c r="BD98"/>
  <c r="BH98"/>
  <c r="BP98"/>
  <c r="BT98"/>
  <c r="BX98"/>
  <c r="CB98"/>
  <c r="CF98"/>
  <c r="CJ98"/>
  <c r="CR98"/>
  <c r="CV98"/>
  <c r="CZ98"/>
  <c r="DD98"/>
  <c r="DP98" s="1"/>
  <c r="DH98"/>
  <c r="DI99"/>
  <c r="DG99"/>
  <c r="DE99"/>
  <c r="DA99"/>
  <c r="CY99"/>
  <c r="CW99"/>
  <c r="CU99"/>
  <c r="CS99"/>
  <c r="CQ99"/>
  <c r="CM99"/>
  <c r="CK99"/>
  <c r="CI99"/>
  <c r="CG99"/>
  <c r="CE99"/>
  <c r="CC99"/>
  <c r="BY99"/>
  <c r="BW99"/>
  <c r="BU99"/>
  <c r="BS99"/>
  <c r="BQ99"/>
  <c r="BO99"/>
  <c r="BK99"/>
  <c r="BI99"/>
  <c r="BG99"/>
  <c r="BE99"/>
  <c r="BC99"/>
  <c r="BB99"/>
  <c r="BF99"/>
  <c r="BJ99"/>
  <c r="BN99"/>
  <c r="BR99"/>
  <c r="BV99"/>
  <c r="CD99"/>
  <c r="CH99"/>
  <c r="CL99"/>
  <c r="CP99"/>
  <c r="CT99"/>
  <c r="CX99"/>
  <c r="DF99"/>
  <c r="BE100"/>
  <c r="BI100"/>
  <c r="BQ100"/>
  <c r="BU100"/>
  <c r="BY100"/>
  <c r="CC100"/>
  <c r="CG100"/>
  <c r="CK100"/>
  <c r="CS100"/>
  <c r="CW100"/>
  <c r="DA100"/>
  <c r="DE100"/>
  <c r="DI100"/>
  <c r="BK102"/>
  <c r="BO102"/>
  <c r="BS102"/>
  <c r="BW102"/>
  <c r="CE102"/>
  <c r="CI102"/>
  <c r="CM102"/>
  <c r="CQ102"/>
  <c r="CU102"/>
  <c r="CY102"/>
  <c r="DG102"/>
  <c r="BK101"/>
  <c r="BL101" s="1"/>
  <c r="BM101" s="1"/>
  <c r="BO101"/>
  <c r="BQ101"/>
  <c r="BS101"/>
  <c r="BU101"/>
  <c r="BW101"/>
  <c r="BY101"/>
  <c r="CC101"/>
  <c r="CE101"/>
  <c r="CG101"/>
  <c r="CI101"/>
  <c r="CK101"/>
  <c r="CM101"/>
  <c r="CQ101"/>
  <c r="CS101"/>
  <c r="CU101"/>
  <c r="CW101"/>
  <c r="CY101"/>
  <c r="DA101"/>
  <c r="DE101"/>
  <c r="DP101" s="1"/>
  <c r="DG101"/>
  <c r="BN103"/>
  <c r="BP103"/>
  <c r="BR103"/>
  <c r="BT103"/>
  <c r="BV103"/>
  <c r="BX103"/>
  <c r="CB103"/>
  <c r="CD103"/>
  <c r="CF103"/>
  <c r="CH103"/>
  <c r="CJ103"/>
  <c r="CL103"/>
  <c r="CP103"/>
  <c r="CR103"/>
  <c r="CT103"/>
  <c r="CV103"/>
  <c r="CX103"/>
  <c r="CZ103"/>
  <c r="DD103"/>
  <c r="DF103"/>
  <c r="BN104"/>
  <c r="BP104"/>
  <c r="BR104"/>
  <c r="BT104"/>
  <c r="BV104"/>
  <c r="BX104"/>
  <c r="CB104"/>
  <c r="CD104"/>
  <c r="CF104"/>
  <c r="CH104"/>
  <c r="CJ104"/>
  <c r="CL104"/>
  <c r="CP104"/>
  <c r="CR104"/>
  <c r="CT104"/>
  <c r="CV104"/>
  <c r="CX104"/>
  <c r="CZ104"/>
  <c r="DD104"/>
  <c r="DF104"/>
  <c r="BN105"/>
  <c r="BP105"/>
  <c r="BR105"/>
  <c r="BT105"/>
  <c r="BV105"/>
  <c r="BX105"/>
  <c r="CB105"/>
  <c r="CD105"/>
  <c r="CF105"/>
  <c r="CH105"/>
  <c r="CJ105"/>
  <c r="CL105"/>
  <c r="CP105"/>
  <c r="CR105"/>
  <c r="CT105"/>
  <c r="CV105"/>
  <c r="CX105"/>
  <c r="CZ105"/>
  <c r="DD105"/>
  <c r="DF105"/>
  <c r="BN106"/>
  <c r="BP106"/>
  <c r="BR106"/>
  <c r="BT106"/>
  <c r="BV106"/>
  <c r="BX106"/>
  <c r="CB106"/>
  <c r="CD106"/>
  <c r="CF106"/>
  <c r="CH106"/>
  <c r="CJ106"/>
  <c r="CL106"/>
  <c r="CP106"/>
  <c r="CR106"/>
  <c r="CT106"/>
  <c r="CV106"/>
  <c r="CX106"/>
  <c r="CZ106"/>
  <c r="DD106"/>
  <c r="DF106"/>
  <c r="BN107"/>
  <c r="BP107"/>
  <c r="BR107"/>
  <c r="BT107"/>
  <c r="BV107"/>
  <c r="BX107"/>
  <c r="CB107"/>
  <c r="CD107"/>
  <c r="CF107"/>
  <c r="CH107"/>
  <c r="CJ107"/>
  <c r="CL107"/>
  <c r="CP107"/>
  <c r="CR107"/>
  <c r="CT107"/>
  <c r="CV107"/>
  <c r="CX107"/>
  <c r="CZ107"/>
  <c r="DD107"/>
  <c r="DF107"/>
  <c r="BN108"/>
  <c r="BP108"/>
  <c r="BR108"/>
  <c r="BT108"/>
  <c r="BV108"/>
  <c r="BX108"/>
  <c r="CB108"/>
  <c r="CD108"/>
  <c r="CF108"/>
  <c r="CH108"/>
  <c r="CJ108"/>
  <c r="CL108"/>
  <c r="CP108"/>
  <c r="CR108"/>
  <c r="CT108"/>
  <c r="CV108"/>
  <c r="CX108"/>
  <c r="CZ108"/>
  <c r="DD108"/>
  <c r="DF108"/>
  <c r="BN109"/>
  <c r="BP109"/>
  <c r="BR109"/>
  <c r="BT109"/>
  <c r="BV109"/>
  <c r="BX109"/>
  <c r="CB109"/>
  <c r="CD109"/>
  <c r="CF109"/>
  <c r="CH109"/>
  <c r="CJ109"/>
  <c r="CL109"/>
  <c r="CP109"/>
  <c r="CR109"/>
  <c r="CT109"/>
  <c r="CV109"/>
  <c r="CX109"/>
  <c r="CZ109"/>
  <c r="DD109"/>
  <c r="DF109"/>
  <c r="BP110"/>
  <c r="BR110"/>
  <c r="BT110"/>
  <c r="BV110"/>
  <c r="BX110"/>
  <c r="CB110"/>
  <c r="CD110"/>
  <c r="CF110"/>
  <c r="CH110"/>
  <c r="CJ110"/>
  <c r="CL110"/>
  <c r="CP110"/>
  <c r="CR110"/>
  <c r="CT110"/>
  <c r="CV110"/>
  <c r="CX110"/>
  <c r="CZ110"/>
  <c r="DD110"/>
  <c r="DF110"/>
  <c r="BT111"/>
  <c r="BV111"/>
  <c r="BX111"/>
  <c r="CB111"/>
  <c r="CD111"/>
  <c r="CF111"/>
  <c r="CH111"/>
  <c r="CJ111"/>
  <c r="CL111"/>
  <c r="CP111"/>
  <c r="CR111"/>
  <c r="CT111"/>
  <c r="CV111"/>
  <c r="CX111"/>
  <c r="CZ111"/>
  <c r="DD111"/>
  <c r="DF111"/>
  <c r="BT112"/>
  <c r="BV112"/>
  <c r="BX112"/>
  <c r="CB112"/>
  <c r="CD112"/>
  <c r="CF112"/>
  <c r="CH112"/>
  <c r="CJ112"/>
  <c r="CL112"/>
  <c r="CP112"/>
  <c r="CR112"/>
  <c r="CT112"/>
  <c r="CV112"/>
  <c r="CX112"/>
  <c r="CZ112"/>
  <c r="DD112"/>
  <c r="DF112"/>
  <c r="BT113"/>
  <c r="BV113"/>
  <c r="BX113"/>
  <c r="CB113"/>
  <c r="CD113"/>
  <c r="CF113"/>
  <c r="CH113"/>
  <c r="CJ113"/>
  <c r="CL113"/>
  <c r="CP113"/>
  <c r="CR113"/>
  <c r="CT113"/>
  <c r="CV113"/>
  <c r="CX113"/>
  <c r="CZ113"/>
  <c r="DD113"/>
  <c r="DF113"/>
  <c r="BT114"/>
  <c r="BV114"/>
  <c r="BX114"/>
  <c r="CB114"/>
  <c r="CD114"/>
  <c r="CF114"/>
  <c r="CH114"/>
  <c r="CJ114"/>
  <c r="CL114"/>
  <c r="CP114"/>
  <c r="CR114"/>
  <c r="CT114"/>
  <c r="CV114"/>
  <c r="CX114"/>
  <c r="CZ114"/>
  <c r="DD114"/>
  <c r="DF114"/>
  <c r="BT115"/>
  <c r="BV115"/>
  <c r="BX115"/>
  <c r="CB115"/>
  <c r="CD115"/>
  <c r="CF115"/>
  <c r="CH115"/>
  <c r="CJ115"/>
  <c r="CL115"/>
  <c r="CP115"/>
  <c r="CR115"/>
  <c r="CT115"/>
  <c r="CV115"/>
  <c r="CX115"/>
  <c r="CZ115"/>
  <c r="DD115"/>
  <c r="DF115"/>
  <c r="BT116"/>
  <c r="BV116"/>
  <c r="BX116"/>
  <c r="CB116"/>
  <c r="CD116"/>
  <c r="CF116"/>
  <c r="CH116"/>
  <c r="CJ116"/>
  <c r="CL116"/>
  <c r="CP116"/>
  <c r="CR116"/>
  <c r="CT116"/>
  <c r="CV116"/>
  <c r="CX116"/>
  <c r="CZ116"/>
  <c r="DD116"/>
  <c r="DF116"/>
  <c r="BT117"/>
  <c r="BV117"/>
  <c r="BX117"/>
  <c r="CB117"/>
  <c r="CD117"/>
  <c r="CF117"/>
  <c r="CH117"/>
  <c r="CJ117"/>
  <c r="CL117"/>
  <c r="CP117"/>
  <c r="CR117"/>
  <c r="CT117"/>
  <c r="CV117"/>
  <c r="CX117"/>
  <c r="CZ117"/>
  <c r="DD117"/>
  <c r="DF117"/>
  <c r="DI118"/>
  <c r="DG118"/>
  <c r="DE118"/>
  <c r="DP118" s="1"/>
  <c r="DA118"/>
  <c r="CY118"/>
  <c r="CW118"/>
  <c r="CU118"/>
  <c r="CS118"/>
  <c r="CQ118"/>
  <c r="CM118"/>
  <c r="CK118"/>
  <c r="CI118"/>
  <c r="BT118"/>
  <c r="BV118"/>
  <c r="BX118"/>
  <c r="CB118"/>
  <c r="CD118"/>
  <c r="CF118"/>
  <c r="CH118"/>
  <c r="CL118"/>
  <c r="CP118"/>
  <c r="CT118"/>
  <c r="CX118"/>
  <c r="DF118"/>
  <c r="BT119"/>
  <c r="BX119"/>
  <c r="CB119"/>
  <c r="CF119"/>
  <c r="CJ119"/>
  <c r="CR119"/>
  <c r="CV119"/>
  <c r="CZ119"/>
  <c r="DD119"/>
  <c r="DI120"/>
  <c r="DG120"/>
  <c r="DE120"/>
  <c r="DA120"/>
  <c r="CY120"/>
  <c r="CW120"/>
  <c r="CU120"/>
  <c r="CS120"/>
  <c r="CQ120"/>
  <c r="CM120"/>
  <c r="CK120"/>
  <c r="CI120"/>
  <c r="CG120"/>
  <c r="CE120"/>
  <c r="CC120"/>
  <c r="BY120"/>
  <c r="BW120"/>
  <c r="BU120"/>
  <c r="BS120"/>
  <c r="BV120"/>
  <c r="CD120"/>
  <c r="CH120"/>
  <c r="CL120"/>
  <c r="CP120"/>
  <c r="CT120"/>
  <c r="CX120"/>
  <c r="DF120"/>
  <c r="BT121"/>
  <c r="BX121"/>
  <c r="CB121"/>
  <c r="CF121"/>
  <c r="CJ121"/>
  <c r="CR121"/>
  <c r="CV121"/>
  <c r="CZ121"/>
  <c r="DD121"/>
  <c r="DI122"/>
  <c r="DG122"/>
  <c r="DE122"/>
  <c r="DA122"/>
  <c r="CY122"/>
  <c r="CW122"/>
  <c r="CU122"/>
  <c r="CS122"/>
  <c r="CQ122"/>
  <c r="CM122"/>
  <c r="CK122"/>
  <c r="CI122"/>
  <c r="CG122"/>
  <c r="CE122"/>
  <c r="CC122"/>
  <c r="BY122"/>
  <c r="BW122"/>
  <c r="BU122"/>
  <c r="BS122"/>
  <c r="BV122"/>
  <c r="CD122"/>
  <c r="CH122"/>
  <c r="CL122"/>
  <c r="CP122"/>
  <c r="CT122"/>
  <c r="CX122"/>
  <c r="DF122"/>
  <c r="BW123"/>
  <c r="CE123"/>
  <c r="CI123"/>
  <c r="CM123"/>
  <c r="CQ123"/>
  <c r="CU123"/>
  <c r="CY123"/>
  <c r="DH125"/>
  <c r="DF125"/>
  <c r="DD125"/>
  <c r="CZ125"/>
  <c r="CX125"/>
  <c r="CV125"/>
  <c r="CT125"/>
  <c r="CR125"/>
  <c r="CP125"/>
  <c r="CL125"/>
  <c r="CJ125"/>
  <c r="CH125"/>
  <c r="CF125"/>
  <c r="CD125"/>
  <c r="CB125"/>
  <c r="BX125"/>
  <c r="BV125"/>
  <c r="BY125"/>
  <c r="CC125"/>
  <c r="CG125"/>
  <c r="CK125"/>
  <c r="CS125"/>
  <c r="CW125"/>
  <c r="DA125"/>
  <c r="DE125"/>
  <c r="DI125"/>
  <c r="DH127"/>
  <c r="DF127"/>
  <c r="DD127"/>
  <c r="CZ127"/>
  <c r="CX127"/>
  <c r="CV127"/>
  <c r="CT127"/>
  <c r="CR127"/>
  <c r="CP127"/>
  <c r="CL127"/>
  <c r="CN127" s="1"/>
  <c r="CO127" s="1"/>
  <c r="CS127"/>
  <c r="CW127"/>
  <c r="DA127"/>
  <c r="DE127"/>
  <c r="DI127"/>
  <c r="DI119"/>
  <c r="DG119"/>
  <c r="DE119"/>
  <c r="DA119"/>
  <c r="CY119"/>
  <c r="CW119"/>
  <c r="CU119"/>
  <c r="CS119"/>
  <c r="CQ119"/>
  <c r="CM119"/>
  <c r="CK119"/>
  <c r="CI119"/>
  <c r="CG119"/>
  <c r="CE119"/>
  <c r="CC119"/>
  <c r="BY119"/>
  <c r="BW119"/>
  <c r="BU119"/>
  <c r="BS119"/>
  <c r="BZ119" s="1"/>
  <c r="CA119" s="1"/>
  <c r="BV119"/>
  <c r="CD119"/>
  <c r="CH119"/>
  <c r="CL119"/>
  <c r="CP119"/>
  <c r="CT119"/>
  <c r="CX119"/>
  <c r="DF119"/>
  <c r="DI121"/>
  <c r="DG121"/>
  <c r="DE121"/>
  <c r="DA121"/>
  <c r="CY121"/>
  <c r="CW121"/>
  <c r="CU121"/>
  <c r="CS121"/>
  <c r="CQ121"/>
  <c r="CM121"/>
  <c r="CK121"/>
  <c r="CI121"/>
  <c r="CG121"/>
  <c r="CE121"/>
  <c r="CC121"/>
  <c r="BY121"/>
  <c r="BW121"/>
  <c r="BU121"/>
  <c r="BS121"/>
  <c r="BV121"/>
  <c r="CD121"/>
  <c r="CH121"/>
  <c r="CL121"/>
  <c r="CP121"/>
  <c r="CT121"/>
  <c r="CX121"/>
  <c r="DF121"/>
  <c r="DH123"/>
  <c r="DF123"/>
  <c r="DD123"/>
  <c r="CZ123"/>
  <c r="CX123"/>
  <c r="CV123"/>
  <c r="CT123"/>
  <c r="CR123"/>
  <c r="CP123"/>
  <c r="CL123"/>
  <c r="CJ123"/>
  <c r="CH123"/>
  <c r="CF123"/>
  <c r="CD123"/>
  <c r="CB123"/>
  <c r="BX123"/>
  <c r="BV123"/>
  <c r="BZ123" s="1"/>
  <c r="CA123" s="1"/>
  <c r="BY123"/>
  <c r="CC123"/>
  <c r="CG123"/>
  <c r="CK123"/>
  <c r="CS123"/>
  <c r="CW123"/>
  <c r="DA123"/>
  <c r="DE123"/>
  <c r="DI123"/>
  <c r="DG127"/>
  <c r="BW124"/>
  <c r="BY124"/>
  <c r="CC124"/>
  <c r="CE124"/>
  <c r="CG124"/>
  <c r="CI124"/>
  <c r="CK124"/>
  <c r="CM124"/>
  <c r="CQ124"/>
  <c r="CS124"/>
  <c r="CU124"/>
  <c r="CW124"/>
  <c r="CY124"/>
  <c r="DA124"/>
  <c r="DE124"/>
  <c r="DG124"/>
  <c r="BY126"/>
  <c r="BZ126" s="1"/>
  <c r="CA126" s="1"/>
  <c r="CC126"/>
  <c r="CE126"/>
  <c r="CG126"/>
  <c r="CI126"/>
  <c r="CK126"/>
  <c r="CM126"/>
  <c r="CQ126"/>
  <c r="CS126"/>
  <c r="CU126"/>
  <c r="CW126"/>
  <c r="CY126"/>
  <c r="DA126"/>
  <c r="DE126"/>
  <c r="DG126"/>
  <c r="CM128"/>
  <c r="CN128" s="1"/>
  <c r="CO128" s="1"/>
  <c r="CQ128"/>
  <c r="CS128"/>
  <c r="CU128"/>
  <c r="CW128"/>
  <c r="CY128"/>
  <c r="DA128"/>
  <c r="DE128"/>
  <c r="DG128"/>
  <c r="CL129"/>
  <c r="CP129"/>
  <c r="CR129"/>
  <c r="CT129"/>
  <c r="CV129"/>
  <c r="CX129"/>
  <c r="CZ129"/>
  <c r="DD129"/>
  <c r="DF129"/>
  <c r="DH129"/>
  <c r="CP130"/>
  <c r="CR130"/>
  <c r="CT130"/>
  <c r="CV130"/>
  <c r="CX130"/>
  <c r="CZ130"/>
  <c r="DD130"/>
  <c r="DF130"/>
  <c r="CP131"/>
  <c r="CR131"/>
  <c r="CT131"/>
  <c r="CV131"/>
  <c r="CX131"/>
  <c r="CZ131"/>
  <c r="DD131"/>
  <c r="DF131"/>
  <c r="CP132"/>
  <c r="CR132"/>
  <c r="CT132"/>
  <c r="CV132"/>
  <c r="CX132"/>
  <c r="CZ132"/>
  <c r="DD132"/>
  <c r="DF132"/>
  <c r="CV133"/>
  <c r="CX133"/>
  <c r="CZ133"/>
  <c r="DD133"/>
  <c r="DF133"/>
  <c r="CV134"/>
  <c r="CX134"/>
  <c r="CZ134"/>
  <c r="DD134"/>
  <c r="DF134"/>
  <c r="CV135"/>
  <c r="CX135"/>
  <c r="CZ135"/>
  <c r="DD135"/>
  <c r="DF135"/>
  <c r="DI136"/>
  <c r="DG136"/>
  <c r="DE136"/>
  <c r="DP136" s="1"/>
  <c r="DA136"/>
  <c r="CY136"/>
  <c r="CV136"/>
  <c r="CX136"/>
  <c r="DF136"/>
  <c r="CV137"/>
  <c r="CZ137"/>
  <c r="DD137"/>
  <c r="DI138"/>
  <c r="DG138"/>
  <c r="DE138"/>
  <c r="DA138"/>
  <c r="CY138"/>
  <c r="CW138"/>
  <c r="CU138"/>
  <c r="CX138"/>
  <c r="DF138"/>
  <c r="CV139"/>
  <c r="CZ139"/>
  <c r="DD139"/>
  <c r="DH140"/>
  <c r="DF140"/>
  <c r="DD140"/>
  <c r="CZ140"/>
  <c r="CX140"/>
  <c r="CV140"/>
  <c r="CY140"/>
  <c r="DG140"/>
  <c r="CW142"/>
  <c r="DA142"/>
  <c r="DE142"/>
  <c r="DH144"/>
  <c r="DF144"/>
  <c r="DD144"/>
  <c r="CZ144"/>
  <c r="CX144"/>
  <c r="CV144"/>
  <c r="CY144"/>
  <c r="DG144"/>
  <c r="CM129"/>
  <c r="CQ129"/>
  <c r="CS129"/>
  <c r="CU129"/>
  <c r="CW129"/>
  <c r="CY129"/>
  <c r="DA129"/>
  <c r="DE129"/>
  <c r="DG129"/>
  <c r="DI137"/>
  <c r="DG137"/>
  <c r="DE137"/>
  <c r="DA137"/>
  <c r="CY137"/>
  <c r="CW137"/>
  <c r="CU137"/>
  <c r="CX137"/>
  <c r="DF137"/>
  <c r="DI139"/>
  <c r="DG139"/>
  <c r="DE139"/>
  <c r="DA139"/>
  <c r="CY139"/>
  <c r="CW139"/>
  <c r="CU139"/>
  <c r="DB139" s="1"/>
  <c r="DC139" s="1"/>
  <c r="CX139"/>
  <c r="DF139"/>
  <c r="DH142"/>
  <c r="DF142"/>
  <c r="DD142"/>
  <c r="CZ142"/>
  <c r="CX142"/>
  <c r="CV142"/>
  <c r="DB142" s="1"/>
  <c r="DC142" s="1"/>
  <c r="CY142"/>
  <c r="DG142"/>
  <c r="CW141"/>
  <c r="CY141"/>
  <c r="DA141"/>
  <c r="DE141"/>
  <c r="DP141" s="1"/>
  <c r="DG141"/>
  <c r="CW143"/>
  <c r="CY143"/>
  <c r="DA143"/>
  <c r="DE143"/>
  <c r="DG143"/>
  <c r="CW145"/>
  <c r="CY145"/>
  <c r="DA145"/>
  <c r="DE145"/>
  <c r="DP145" s="1"/>
  <c r="DG145"/>
  <c r="CV146"/>
  <c r="CX146"/>
  <c r="CZ146"/>
  <c r="DD146"/>
  <c r="DF146"/>
  <c r="DH146"/>
  <c r="CW147"/>
  <c r="CY147"/>
  <c r="DA147"/>
  <c r="DE147"/>
  <c r="DG147"/>
  <c r="CV148"/>
  <c r="CX148"/>
  <c r="CZ148"/>
  <c r="DD148"/>
  <c r="DF148"/>
  <c r="DH148"/>
  <c r="CW149"/>
  <c r="CY149"/>
  <c r="DA149"/>
  <c r="DE149"/>
  <c r="DG149"/>
  <c r="CV150"/>
  <c r="CX150"/>
  <c r="CZ150"/>
  <c r="DD150"/>
  <c r="DF150"/>
  <c r="DH150"/>
  <c r="CW151"/>
  <c r="CY151"/>
  <c r="DA151"/>
  <c r="DE151"/>
  <c r="DG151"/>
  <c r="CV152"/>
  <c r="CX152"/>
  <c r="CZ152"/>
  <c r="DD152"/>
  <c r="DF152"/>
  <c r="DH152"/>
  <c r="CW153"/>
  <c r="CY153"/>
  <c r="DA153"/>
  <c r="DE153"/>
  <c r="DP153" s="1"/>
  <c r="DG153"/>
  <c r="CV154"/>
  <c r="CX154"/>
  <c r="CZ154"/>
  <c r="DD154"/>
  <c r="DH155"/>
  <c r="DF155"/>
  <c r="DD155"/>
  <c r="CZ155"/>
  <c r="CX155"/>
  <c r="CV155"/>
  <c r="CY155"/>
  <c r="DG155"/>
  <c r="CW146"/>
  <c r="CY146"/>
  <c r="DA146"/>
  <c r="DE146"/>
  <c r="DG146"/>
  <c r="CW148"/>
  <c r="CY148"/>
  <c r="DA148"/>
  <c r="DE148"/>
  <c r="DG148"/>
  <c r="CW150"/>
  <c r="CY150"/>
  <c r="DA150"/>
  <c r="DE150"/>
  <c r="DG150"/>
  <c r="CW152"/>
  <c r="CY152"/>
  <c r="DA152"/>
  <c r="DE152"/>
  <c r="DG152"/>
  <c r="DI154"/>
  <c r="DG154"/>
  <c r="DE154"/>
  <c r="CW154"/>
  <c r="CY154"/>
  <c r="DA154"/>
  <c r="DF154"/>
  <c r="DH157"/>
  <c r="DF157"/>
  <c r="DD157"/>
  <c r="CZ157"/>
  <c r="CX157"/>
  <c r="CV157"/>
  <c r="DI157"/>
  <c r="DG157"/>
  <c r="DE157"/>
  <c r="DA157"/>
  <c r="CY157"/>
  <c r="CX159"/>
  <c r="CZ159"/>
  <c r="DD159"/>
  <c r="DF159"/>
  <c r="DH159"/>
  <c r="CX160"/>
  <c r="CZ160"/>
  <c r="DD160"/>
  <c r="DF160"/>
  <c r="DH160"/>
  <c r="CX161"/>
  <c r="CZ161"/>
  <c r="DD161"/>
  <c r="DF161"/>
  <c r="DH161"/>
  <c r="CX162"/>
  <c r="CZ162"/>
  <c r="DD162"/>
  <c r="DF162"/>
  <c r="DH162"/>
  <c r="CX163"/>
  <c r="CZ163"/>
  <c r="DD163"/>
  <c r="DF163"/>
  <c r="DH163"/>
  <c r="CX164"/>
  <c r="CZ164"/>
  <c r="DD164"/>
  <c r="DF164"/>
  <c r="DH164"/>
  <c r="CX165"/>
  <c r="CZ165"/>
  <c r="DD165"/>
  <c r="DF165"/>
  <c r="DH165"/>
  <c r="CX166"/>
  <c r="CZ166"/>
  <c r="DD166"/>
  <c r="DF166"/>
  <c r="DH166"/>
  <c r="CX167"/>
  <c r="CZ167"/>
  <c r="DD167"/>
  <c r="DF167"/>
  <c r="DH167"/>
  <c r="DH169"/>
  <c r="DF169"/>
  <c r="DD169"/>
  <c r="CZ169"/>
  <c r="CX169"/>
  <c r="DA169"/>
  <c r="DE169"/>
  <c r="DI169"/>
  <c r="CW156"/>
  <c r="CY156"/>
  <c r="DA156"/>
  <c r="DE156"/>
  <c r="DP156" s="1"/>
  <c r="DG156"/>
  <c r="CW158"/>
  <c r="DB158" s="1"/>
  <c r="DC158" s="1"/>
  <c r="DQ158" s="1"/>
  <c r="DR158" s="1"/>
  <c r="CY158"/>
  <c r="DA158"/>
  <c r="DE158"/>
  <c r="DG158"/>
  <c r="CW159"/>
  <c r="CY159"/>
  <c r="DA159"/>
  <c r="DE159"/>
  <c r="DG159"/>
  <c r="CW160"/>
  <c r="CY160"/>
  <c r="DA160"/>
  <c r="DE160"/>
  <c r="DG160"/>
  <c r="CW161"/>
  <c r="CY161"/>
  <c r="DA161"/>
  <c r="DE161"/>
  <c r="DG161"/>
  <c r="CW162"/>
  <c r="CY162"/>
  <c r="DA162"/>
  <c r="DE162"/>
  <c r="DG162"/>
  <c r="CW163"/>
  <c r="CY163"/>
  <c r="DA163"/>
  <c r="DE163"/>
  <c r="DG163"/>
  <c r="CW164"/>
  <c r="CY164"/>
  <c r="DA164"/>
  <c r="DE164"/>
  <c r="DG164"/>
  <c r="CW165"/>
  <c r="CY165"/>
  <c r="DA165"/>
  <c r="DE165"/>
  <c r="DG165"/>
  <c r="CW166"/>
  <c r="CY166"/>
  <c r="DA166"/>
  <c r="DE166"/>
  <c r="DG166"/>
  <c r="CW167"/>
  <c r="CY167"/>
  <c r="DA167"/>
  <c r="DE167"/>
  <c r="DG167"/>
  <c r="CY169"/>
  <c r="DG169"/>
  <c r="CU174"/>
  <c r="DB174" s="1"/>
  <c r="DC174" s="1"/>
  <c r="DE174"/>
  <c r="DG174"/>
  <c r="DE175"/>
  <c r="DG175"/>
  <c r="BI179"/>
  <c r="BI182" s="1"/>
  <c r="CY168"/>
  <c r="DA168"/>
  <c r="DE168"/>
  <c r="DG168"/>
  <c r="DD170"/>
  <c r="DF170"/>
  <c r="DD174"/>
  <c r="DF174"/>
  <c r="DH174"/>
  <c r="DH176" s="1"/>
  <c r="DF175"/>
  <c r="DP175" s="1"/>
  <c r="DB151" l="1"/>
  <c r="DC151" s="1"/>
  <c r="DQ151" s="1"/>
  <c r="DR151" s="1"/>
  <c r="DB147"/>
  <c r="DC147" s="1"/>
  <c r="DQ147" s="1"/>
  <c r="DR147" s="1"/>
  <c r="DB134"/>
  <c r="DC134" s="1"/>
  <c r="DQ134" s="1"/>
  <c r="DR134" s="1"/>
  <c r="DB126"/>
  <c r="CN126"/>
  <c r="BZ118"/>
  <c r="CA118" s="1"/>
  <c r="BZ116"/>
  <c r="CA116" s="1"/>
  <c r="BZ114"/>
  <c r="CA114" s="1"/>
  <c r="BZ112"/>
  <c r="CA112" s="1"/>
  <c r="BZ110"/>
  <c r="CA110" s="1"/>
  <c r="DB101"/>
  <c r="CN101"/>
  <c r="BZ101"/>
  <c r="CN99"/>
  <c r="DP99"/>
  <c r="DB98"/>
  <c r="BZ97"/>
  <c r="DB96"/>
  <c r="DB59"/>
  <c r="CN59"/>
  <c r="CO59" s="1"/>
  <c r="DB55"/>
  <c r="CN55"/>
  <c r="CO55" s="1"/>
  <c r="AY34"/>
  <c r="DB23"/>
  <c r="DC23" s="1"/>
  <c r="DQ23" s="1"/>
  <c r="DR23" s="1"/>
  <c r="BL35"/>
  <c r="BM35" s="1"/>
  <c r="CN35"/>
  <c r="AK20"/>
  <c r="AY20" s="1"/>
  <c r="AK18"/>
  <c r="AY18" s="1"/>
  <c r="AK16"/>
  <c r="AY16" s="1"/>
  <c r="AK14"/>
  <c r="AY14" s="1"/>
  <c r="AK12"/>
  <c r="AY12" s="1"/>
  <c r="AK10"/>
  <c r="AY10" s="1"/>
  <c r="DB194" i="2"/>
  <c r="CN194"/>
  <c r="BZ194"/>
  <c r="BL194"/>
  <c r="AE197"/>
  <c r="AE201" s="1"/>
  <c r="DB87"/>
  <c r="CN87"/>
  <c r="BZ87"/>
  <c r="BL87"/>
  <c r="Y197"/>
  <c r="Y201" s="1"/>
  <c r="CN83"/>
  <c r="BZ83"/>
  <c r="BL83"/>
  <c r="DB81"/>
  <c r="CN81"/>
  <c r="BZ81"/>
  <c r="BL81"/>
  <c r="DB77"/>
  <c r="CN77"/>
  <c r="BZ77"/>
  <c r="BL77"/>
  <c r="AL201"/>
  <c r="G201"/>
  <c r="DP170" i="1"/>
  <c r="DP168"/>
  <c r="DB168"/>
  <c r="DC168" s="1"/>
  <c r="DQ168" s="1"/>
  <c r="DR168" s="1"/>
  <c r="DQ175"/>
  <c r="DR175" s="1"/>
  <c r="DP158"/>
  <c r="DB156"/>
  <c r="DC156" s="1"/>
  <c r="DQ156" s="1"/>
  <c r="DR156" s="1"/>
  <c r="DB155"/>
  <c r="DC155" s="1"/>
  <c r="DB153"/>
  <c r="DC153" s="1"/>
  <c r="DQ153" s="1"/>
  <c r="DR153" s="1"/>
  <c r="DP151"/>
  <c r="DP149"/>
  <c r="DB149"/>
  <c r="DC149" s="1"/>
  <c r="DQ149" s="1"/>
  <c r="DR149" s="1"/>
  <c r="DP147"/>
  <c r="DB145"/>
  <c r="DC145" s="1"/>
  <c r="DQ145" s="1"/>
  <c r="DR145" s="1"/>
  <c r="DP143"/>
  <c r="DB141"/>
  <c r="DC141" s="1"/>
  <c r="DQ141" s="1"/>
  <c r="DR141" s="1"/>
  <c r="DB144"/>
  <c r="DC144" s="1"/>
  <c r="DP140"/>
  <c r="DB138"/>
  <c r="DC138" s="1"/>
  <c r="DP138"/>
  <c r="DB136"/>
  <c r="DC136" s="1"/>
  <c r="DQ136" s="1"/>
  <c r="DR136" s="1"/>
  <c r="DB135"/>
  <c r="DC135" s="1"/>
  <c r="DQ135" s="1"/>
  <c r="DR135" s="1"/>
  <c r="DP134"/>
  <c r="DB133"/>
  <c r="DC133" s="1"/>
  <c r="DQ133" s="1"/>
  <c r="DR133" s="1"/>
  <c r="DP132"/>
  <c r="DP131"/>
  <c r="DP130"/>
  <c r="DP128"/>
  <c r="DB128"/>
  <c r="DP124"/>
  <c r="DB124"/>
  <c r="CN124"/>
  <c r="BZ124"/>
  <c r="CA124" s="1"/>
  <c r="BZ125"/>
  <c r="CA125" s="1"/>
  <c r="BZ122"/>
  <c r="CA122" s="1"/>
  <c r="CN122"/>
  <c r="DP122"/>
  <c r="BZ120"/>
  <c r="CA120" s="1"/>
  <c r="CN120"/>
  <c r="DP120"/>
  <c r="BZ117"/>
  <c r="CA117" s="1"/>
  <c r="DP116"/>
  <c r="BZ115"/>
  <c r="CA115" s="1"/>
  <c r="DP114"/>
  <c r="BZ113"/>
  <c r="CA113" s="1"/>
  <c r="DP112"/>
  <c r="BZ111"/>
  <c r="CA111" s="1"/>
  <c r="DP110"/>
  <c r="DP77"/>
  <c r="DP75"/>
  <c r="DP74"/>
  <c r="DP50"/>
  <c r="DP49"/>
  <c r="DP48"/>
  <c r="DP47"/>
  <c r="DP46"/>
  <c r="DP45"/>
  <c r="DP44"/>
  <c r="DP43"/>
  <c r="DP42"/>
  <c r="DP41"/>
  <c r="DP40"/>
  <c r="DP39"/>
  <c r="DP38"/>
  <c r="DP73"/>
  <c r="DB73"/>
  <c r="DC73" s="1"/>
  <c r="DQ73" s="1"/>
  <c r="DR73" s="1"/>
  <c r="DP72"/>
  <c r="DP71"/>
  <c r="DP70"/>
  <c r="DP69"/>
  <c r="DP68"/>
  <c r="DP67"/>
  <c r="DP66"/>
  <c r="DP65"/>
  <c r="DP64"/>
  <c r="CN64"/>
  <c r="CO64" s="1"/>
  <c r="DP63"/>
  <c r="CN63"/>
  <c r="CO63" s="1"/>
  <c r="DP62"/>
  <c r="CN62"/>
  <c r="CO62" s="1"/>
  <c r="DP61"/>
  <c r="CN61"/>
  <c r="CO61" s="1"/>
  <c r="DP57"/>
  <c r="DB57"/>
  <c r="CN57"/>
  <c r="CO57" s="1"/>
  <c r="DP53"/>
  <c r="DB53"/>
  <c r="CN53"/>
  <c r="CO53" s="1"/>
  <c r="DC53" s="1"/>
  <c r="DQ53" s="1"/>
  <c r="DR53" s="1"/>
  <c r="AY36"/>
  <c r="DP34"/>
  <c r="DP28"/>
  <c r="DB28"/>
  <c r="CN28"/>
  <c r="DP23"/>
  <c r="DH84"/>
  <c r="DP26"/>
  <c r="AS31"/>
  <c r="BL195" i="2"/>
  <c r="DB193"/>
  <c r="CN193"/>
  <c r="BZ193"/>
  <c r="BL193"/>
  <c r="BY188"/>
  <c r="AZ178"/>
  <c r="CA178"/>
  <c r="DC178"/>
  <c r="AF197"/>
  <c r="AF201" s="1"/>
  <c r="AC197"/>
  <c r="AC201" s="1"/>
  <c r="AG197"/>
  <c r="AG201" s="1"/>
  <c r="DB89"/>
  <c r="CN89"/>
  <c r="BZ89"/>
  <c r="BL89"/>
  <c r="DB84"/>
  <c r="CN84"/>
  <c r="BZ84"/>
  <c r="BL84"/>
  <c r="AA197"/>
  <c r="AA201" s="1"/>
  <c r="AX88"/>
  <c r="AY86"/>
  <c r="AJ85"/>
  <c r="BZ85"/>
  <c r="DB85"/>
  <c r="DB79"/>
  <c r="CN79"/>
  <c r="BZ79"/>
  <c r="BL79"/>
  <c r="DB75"/>
  <c r="CN75"/>
  <c r="BZ75"/>
  <c r="BL75"/>
  <c r="DB196"/>
  <c r="CN196"/>
  <c r="BZ196"/>
  <c r="BL196"/>
  <c r="AX196"/>
  <c r="AY196"/>
  <c r="BM196" s="1"/>
  <c r="AY195"/>
  <c r="BM195" s="1"/>
  <c r="AX195"/>
  <c r="BZ195"/>
  <c r="CN195"/>
  <c r="DB195"/>
  <c r="AY193"/>
  <c r="BM193" s="1"/>
  <c r="CA193" s="1"/>
  <c r="CO193" s="1"/>
  <c r="AX193"/>
  <c r="AY191"/>
  <c r="AX191"/>
  <c r="AW189"/>
  <c r="AI189"/>
  <c r="AJ189"/>
  <c r="AX189" s="1"/>
  <c r="DB192"/>
  <c r="CN192"/>
  <c r="BZ192"/>
  <c r="BL192"/>
  <c r="DB190"/>
  <c r="CN190"/>
  <c r="BZ190"/>
  <c r="BL190"/>
  <c r="DA187"/>
  <c r="CM187"/>
  <c r="BY187"/>
  <c r="BK187"/>
  <c r="DA186"/>
  <c r="CM186"/>
  <c r="BY186"/>
  <c r="BK186"/>
  <c r="AW188"/>
  <c r="AJ188"/>
  <c r="AX188" s="1"/>
  <c r="AI188"/>
  <c r="AJ187"/>
  <c r="AX187" s="1"/>
  <c r="BL187" s="1"/>
  <c r="BZ187" s="1"/>
  <c r="CN187" s="1"/>
  <c r="DB187" s="1"/>
  <c r="DC187" s="1"/>
  <c r="DC185"/>
  <c r="CO185"/>
  <c r="CA185"/>
  <c r="BM185"/>
  <c r="AZ185"/>
  <c r="AY185"/>
  <c r="DC180"/>
  <c r="CO180"/>
  <c r="CA180"/>
  <c r="BM180"/>
  <c r="AY180"/>
  <c r="AZ180"/>
  <c r="BN180" s="1"/>
  <c r="CB180" s="1"/>
  <c r="CP180" s="1"/>
  <c r="DD180" s="1"/>
  <c r="DE180" s="1"/>
  <c r="CA183"/>
  <c r="BM183"/>
  <c r="AZ183"/>
  <c r="AY183"/>
  <c r="DC181"/>
  <c r="CO181"/>
  <c r="CA181"/>
  <c r="BM181"/>
  <c r="AZ181"/>
  <c r="AY181"/>
  <c r="AD197"/>
  <c r="AD201" s="1"/>
  <c r="Z197"/>
  <c r="Z201" s="1"/>
  <c r="DB90"/>
  <c r="CN90"/>
  <c r="BZ90"/>
  <c r="BL90"/>
  <c r="AY87"/>
  <c r="BM87" s="1"/>
  <c r="CA87" s="1"/>
  <c r="CO87" s="1"/>
  <c r="AX87"/>
  <c r="AY178"/>
  <c r="AX90"/>
  <c r="AY90"/>
  <c r="CN85"/>
  <c r="BL85"/>
  <c r="AY85"/>
  <c r="BM85" s="1"/>
  <c r="CA85" s="1"/>
  <c r="CO85" s="1"/>
  <c r="AX85"/>
  <c r="DB83"/>
  <c r="DB82"/>
  <c r="CN82"/>
  <c r="BZ82"/>
  <c r="BL82"/>
  <c r="AY79"/>
  <c r="BM79" s="1"/>
  <c r="CA79" s="1"/>
  <c r="CO79" s="1"/>
  <c r="AX79"/>
  <c r="DB78"/>
  <c r="CN78"/>
  <c r="BZ78"/>
  <c r="BL78"/>
  <c r="AY75"/>
  <c r="BM75" s="1"/>
  <c r="CA75" s="1"/>
  <c r="CO75" s="1"/>
  <c r="AX75"/>
  <c r="DB74"/>
  <c r="CN74"/>
  <c r="BZ74"/>
  <c r="BL74"/>
  <c r="I91"/>
  <c r="N41"/>
  <c r="L41"/>
  <c r="O41"/>
  <c r="M41"/>
  <c r="K41"/>
  <c r="H201"/>
  <c r="AY88"/>
  <c r="AX86"/>
  <c r="AX82"/>
  <c r="AY82"/>
  <c r="BM82" s="1"/>
  <c r="CA82" s="1"/>
  <c r="CO82" s="1"/>
  <c r="AX80"/>
  <c r="AY80"/>
  <c r="AX78"/>
  <c r="AY78"/>
  <c r="BM78" s="1"/>
  <c r="CA78" s="1"/>
  <c r="CO78" s="1"/>
  <c r="AX76"/>
  <c r="AY76"/>
  <c r="AX74"/>
  <c r="AY74"/>
  <c r="BM74" s="1"/>
  <c r="CA74" s="1"/>
  <c r="CO74" s="1"/>
  <c r="O43"/>
  <c r="M43"/>
  <c r="K43"/>
  <c r="P43"/>
  <c r="N43"/>
  <c r="L43"/>
  <c r="I25"/>
  <c r="AY194"/>
  <c r="BM194" s="1"/>
  <c r="CA194" s="1"/>
  <c r="CO194" s="1"/>
  <c r="AX194"/>
  <c r="AY192"/>
  <c r="BM192" s="1"/>
  <c r="CA192" s="1"/>
  <c r="CO192" s="1"/>
  <c r="AX192"/>
  <c r="AY190"/>
  <c r="BM190" s="1"/>
  <c r="CA190" s="1"/>
  <c r="CO190" s="1"/>
  <c r="AX190"/>
  <c r="DA189"/>
  <c r="CM189"/>
  <c r="BY189"/>
  <c r="BK189"/>
  <c r="DB191"/>
  <c r="CN191"/>
  <c r="BZ191"/>
  <c r="BL191"/>
  <c r="AW187"/>
  <c r="AW186"/>
  <c r="AX186"/>
  <c r="BL186" s="1"/>
  <c r="BZ186" s="1"/>
  <c r="CN186" s="1"/>
  <c r="DB186" s="1"/>
  <c r="DC186" s="1"/>
  <c r="DC184"/>
  <c r="CO184"/>
  <c r="CA184"/>
  <c r="BM184"/>
  <c r="AY184"/>
  <c r="AZ184"/>
  <c r="BN184" s="1"/>
  <c r="CB184" s="1"/>
  <c r="CP184" s="1"/>
  <c r="DD184" s="1"/>
  <c r="DE184" s="1"/>
  <c r="BK188"/>
  <c r="DC182"/>
  <c r="CO182"/>
  <c r="CA182"/>
  <c r="BM182"/>
  <c r="AY182"/>
  <c r="AZ182"/>
  <c r="BN182" s="1"/>
  <c r="CO183"/>
  <c r="DC183"/>
  <c r="DC179"/>
  <c r="CO179"/>
  <c r="CA179"/>
  <c r="BM179"/>
  <c r="AZ179"/>
  <c r="BN179" s="1"/>
  <c r="CB179" s="1"/>
  <c r="CP179" s="1"/>
  <c r="DD179" s="1"/>
  <c r="DE179" s="1"/>
  <c r="AY179"/>
  <c r="CO178"/>
  <c r="BM178"/>
  <c r="BN178" s="1"/>
  <c r="CB178" s="1"/>
  <c r="AB197"/>
  <c r="AB201" s="1"/>
  <c r="X197"/>
  <c r="X201" s="1"/>
  <c r="AY89"/>
  <c r="BM89" s="1"/>
  <c r="CA89" s="1"/>
  <c r="CO89" s="1"/>
  <c r="AX89"/>
  <c r="AY84"/>
  <c r="BM84" s="1"/>
  <c r="CA84" s="1"/>
  <c r="CO84" s="1"/>
  <c r="AX84"/>
  <c r="BL88"/>
  <c r="BZ88"/>
  <c r="CN88"/>
  <c r="DB88"/>
  <c r="BL86"/>
  <c r="BM86" s="1"/>
  <c r="CA86" s="1"/>
  <c r="BZ86"/>
  <c r="CN86"/>
  <c r="DB86"/>
  <c r="AY83"/>
  <c r="BM83" s="1"/>
  <c r="CA83" s="1"/>
  <c r="CO83" s="1"/>
  <c r="AX83"/>
  <c r="AY81"/>
  <c r="BM81" s="1"/>
  <c r="CA81" s="1"/>
  <c r="CO81" s="1"/>
  <c r="AX81"/>
  <c r="DB80"/>
  <c r="CN80"/>
  <c r="BZ80"/>
  <c r="BL80"/>
  <c r="AY77"/>
  <c r="BM77" s="1"/>
  <c r="CA77" s="1"/>
  <c r="CO77" s="1"/>
  <c r="AX77"/>
  <c r="DB76"/>
  <c r="CN76"/>
  <c r="BZ76"/>
  <c r="BL76"/>
  <c r="P44"/>
  <c r="N44"/>
  <c r="L44"/>
  <c r="O44"/>
  <c r="M44"/>
  <c r="N42"/>
  <c r="L42"/>
  <c r="O42"/>
  <c r="M42"/>
  <c r="P27"/>
  <c r="P39" s="1"/>
  <c r="I39"/>
  <c r="CO124" i="1"/>
  <c r="DC124" s="1"/>
  <c r="DQ124" s="1"/>
  <c r="DR124" s="1"/>
  <c r="DC57"/>
  <c r="DQ57" s="1"/>
  <c r="DR57" s="1"/>
  <c r="DC59"/>
  <c r="DQ59" s="1"/>
  <c r="DR59" s="1"/>
  <c r="DC55"/>
  <c r="DQ55" s="1"/>
  <c r="DR55" s="1"/>
  <c r="DF176"/>
  <c r="DG176"/>
  <c r="DQ174"/>
  <c r="DB166"/>
  <c r="DC166" s="1"/>
  <c r="DQ166" s="1"/>
  <c r="DR166" s="1"/>
  <c r="DB164"/>
  <c r="DC164" s="1"/>
  <c r="DQ164" s="1"/>
  <c r="DR164" s="1"/>
  <c r="DB162"/>
  <c r="DC162" s="1"/>
  <c r="DQ162" s="1"/>
  <c r="DR162" s="1"/>
  <c r="DB160"/>
  <c r="DC160" s="1"/>
  <c r="DQ160" s="1"/>
  <c r="DR160" s="1"/>
  <c r="DB169"/>
  <c r="DC169" s="1"/>
  <c r="DQ169" s="1"/>
  <c r="DR169" s="1"/>
  <c r="DP169"/>
  <c r="DP166"/>
  <c r="DP164"/>
  <c r="DP162"/>
  <c r="DP160"/>
  <c r="DQ170"/>
  <c r="DR170" s="1"/>
  <c r="DP157"/>
  <c r="DP155"/>
  <c r="DB154"/>
  <c r="DC154" s="1"/>
  <c r="DQ154" s="1"/>
  <c r="DR154" s="1"/>
  <c r="DP152"/>
  <c r="DB150"/>
  <c r="DC150" s="1"/>
  <c r="DQ150" s="1"/>
  <c r="DR150" s="1"/>
  <c r="DP148"/>
  <c r="DB146"/>
  <c r="DC146" s="1"/>
  <c r="DQ146" s="1"/>
  <c r="DR146" s="1"/>
  <c r="DB143"/>
  <c r="DC143" s="1"/>
  <c r="DQ143" s="1"/>
  <c r="DR143" s="1"/>
  <c r="DP142"/>
  <c r="DB137"/>
  <c r="DC137" s="1"/>
  <c r="DQ137" s="1"/>
  <c r="DR137" s="1"/>
  <c r="DP144"/>
  <c r="DB140"/>
  <c r="DC140" s="1"/>
  <c r="DQ140" s="1"/>
  <c r="DR140" s="1"/>
  <c r="DP139"/>
  <c r="DP137"/>
  <c r="DP135"/>
  <c r="DP133"/>
  <c r="DP129"/>
  <c r="DB129"/>
  <c r="DC128"/>
  <c r="DQ128" s="1"/>
  <c r="DR128" s="1"/>
  <c r="DP126"/>
  <c r="BZ121"/>
  <c r="CA121" s="1"/>
  <c r="DB119"/>
  <c r="DB122"/>
  <c r="DP121"/>
  <c r="CN121"/>
  <c r="DB120"/>
  <c r="DP119"/>
  <c r="CN119"/>
  <c r="DB118"/>
  <c r="DP117"/>
  <c r="DB117"/>
  <c r="CN117"/>
  <c r="CO117" s="1"/>
  <c r="DC117" s="1"/>
  <c r="DQ117" s="1"/>
  <c r="DR117" s="1"/>
  <c r="DP115"/>
  <c r="DB115"/>
  <c r="CN115"/>
  <c r="CO115" s="1"/>
  <c r="DP113"/>
  <c r="DB113"/>
  <c r="CN113"/>
  <c r="CO113" s="1"/>
  <c r="DC113" s="1"/>
  <c r="DQ113" s="1"/>
  <c r="DR113" s="1"/>
  <c r="DP111"/>
  <c r="DB111"/>
  <c r="CN111"/>
  <c r="CO111" s="1"/>
  <c r="DP109"/>
  <c r="DB109"/>
  <c r="CN109"/>
  <c r="BZ109"/>
  <c r="CA109" s="1"/>
  <c r="DP108"/>
  <c r="DB108"/>
  <c r="CN108"/>
  <c r="BZ108"/>
  <c r="CA108" s="1"/>
  <c r="DP107"/>
  <c r="DB107"/>
  <c r="CN107"/>
  <c r="BZ107"/>
  <c r="CA107" s="1"/>
  <c r="DP106"/>
  <c r="DB106"/>
  <c r="CN106"/>
  <c r="BZ106"/>
  <c r="CA106" s="1"/>
  <c r="DP105"/>
  <c r="DB105"/>
  <c r="CN105"/>
  <c r="BZ105"/>
  <c r="CA105" s="1"/>
  <c r="DP104"/>
  <c r="DB104"/>
  <c r="CN104"/>
  <c r="BZ104"/>
  <c r="CA104" s="1"/>
  <c r="DP103"/>
  <c r="DB103"/>
  <c r="CN103"/>
  <c r="BZ103"/>
  <c r="CA103" s="1"/>
  <c r="DB99"/>
  <c r="BZ99"/>
  <c r="AY98"/>
  <c r="AX98"/>
  <c r="AY97"/>
  <c r="AX97"/>
  <c r="BL102"/>
  <c r="BM102" s="1"/>
  <c r="BL100"/>
  <c r="BM100" s="1"/>
  <c r="BL95"/>
  <c r="BM95" s="1"/>
  <c r="CA95" s="1"/>
  <c r="BZ95"/>
  <c r="CN95"/>
  <c r="DB95"/>
  <c r="DP95"/>
  <c r="DP94"/>
  <c r="DB94"/>
  <c r="CN94"/>
  <c r="BZ94"/>
  <c r="BL94"/>
  <c r="DP93"/>
  <c r="DB93"/>
  <c r="CN93"/>
  <c r="BZ93"/>
  <c r="BL93"/>
  <c r="BM93" s="1"/>
  <c r="CA93" s="1"/>
  <c r="CO93" s="1"/>
  <c r="DC93" s="1"/>
  <c r="DQ93" s="1"/>
  <c r="DR93" s="1"/>
  <c r="DP92"/>
  <c r="DB92"/>
  <c r="CN92"/>
  <c r="BZ92"/>
  <c r="BL92"/>
  <c r="DP91"/>
  <c r="DB91"/>
  <c r="CN91"/>
  <c r="BZ91"/>
  <c r="BL91"/>
  <c r="AX91"/>
  <c r="AY91"/>
  <c r="BM91" s="1"/>
  <c r="CA91" s="1"/>
  <c r="CO91" s="1"/>
  <c r="DC91" s="1"/>
  <c r="DQ91" s="1"/>
  <c r="DR91" s="1"/>
  <c r="DP90"/>
  <c r="DB90"/>
  <c r="CN90"/>
  <c r="BZ90"/>
  <c r="BL90"/>
  <c r="AX90"/>
  <c r="AY90"/>
  <c r="BM90" s="1"/>
  <c r="DP89"/>
  <c r="DB89"/>
  <c r="CN89"/>
  <c r="BZ89"/>
  <c r="BL89"/>
  <c r="AX89"/>
  <c r="AY89"/>
  <c r="BM89" s="1"/>
  <c r="CA89" s="1"/>
  <c r="CO89" s="1"/>
  <c r="DC89" s="1"/>
  <c r="DQ89" s="1"/>
  <c r="DR89" s="1"/>
  <c r="DP88"/>
  <c r="DB88"/>
  <c r="CN88"/>
  <c r="BZ88"/>
  <c r="BL88"/>
  <c r="AX88"/>
  <c r="AY88"/>
  <c r="BM88" s="1"/>
  <c r="DP87"/>
  <c r="DB87"/>
  <c r="CN87"/>
  <c r="BZ87"/>
  <c r="BL87"/>
  <c r="AX87"/>
  <c r="AY87"/>
  <c r="BM87" s="1"/>
  <c r="CA87" s="1"/>
  <c r="CO87" s="1"/>
  <c r="DC87" s="1"/>
  <c r="DQ87" s="1"/>
  <c r="DR87" s="1"/>
  <c r="BM92"/>
  <c r="CY171"/>
  <c r="CQ171"/>
  <c r="CI171"/>
  <c r="BW171"/>
  <c r="BO171"/>
  <c r="BG171"/>
  <c r="BA171"/>
  <c r="DP76"/>
  <c r="DP51"/>
  <c r="DB51"/>
  <c r="CN51"/>
  <c r="DI171"/>
  <c r="DA171"/>
  <c r="CS171"/>
  <c r="CG171"/>
  <c r="BY171"/>
  <c r="BQ171"/>
  <c r="BE171"/>
  <c r="AZ171"/>
  <c r="BL86"/>
  <c r="AT171"/>
  <c r="AY86"/>
  <c r="AX86"/>
  <c r="BF171"/>
  <c r="BJ171"/>
  <c r="BP171"/>
  <c r="BT171"/>
  <c r="BX171"/>
  <c r="CD171"/>
  <c r="CH171"/>
  <c r="CL171"/>
  <c r="CR171"/>
  <c r="CV171"/>
  <c r="CZ171"/>
  <c r="DF171"/>
  <c r="DQ79"/>
  <c r="DR79" s="1"/>
  <c r="DP78"/>
  <c r="DB77"/>
  <c r="DC77" s="1"/>
  <c r="DQ77" s="1"/>
  <c r="DR77" s="1"/>
  <c r="DP60"/>
  <c r="DB60"/>
  <c r="CN60"/>
  <c r="CO60" s="1"/>
  <c r="DP56"/>
  <c r="DB56"/>
  <c r="CN56"/>
  <c r="CO56" s="1"/>
  <c r="BZ52"/>
  <c r="CA52" s="1"/>
  <c r="AX39"/>
  <c r="AY39"/>
  <c r="DP36"/>
  <c r="DB36"/>
  <c r="CN36"/>
  <c r="BZ36"/>
  <c r="BL36"/>
  <c r="BM36" s="1"/>
  <c r="CA36" s="1"/>
  <c r="CO36" s="1"/>
  <c r="DC36" s="1"/>
  <c r="DQ36" s="1"/>
  <c r="DR36" s="1"/>
  <c r="BZ28"/>
  <c r="CA28" s="1"/>
  <c r="CO28" s="1"/>
  <c r="DC28" s="1"/>
  <c r="DQ28" s="1"/>
  <c r="DR28" s="1"/>
  <c r="CN37"/>
  <c r="BL37"/>
  <c r="DP37"/>
  <c r="AX36"/>
  <c r="DF84"/>
  <c r="CT84"/>
  <c r="CL84"/>
  <c r="CD84"/>
  <c r="BR84"/>
  <c r="BJ84"/>
  <c r="BB84"/>
  <c r="AY33"/>
  <c r="AQ84"/>
  <c r="AX33"/>
  <c r="BA84"/>
  <c r="BE84"/>
  <c r="BI84"/>
  <c r="BO84"/>
  <c r="BS84"/>
  <c r="BW84"/>
  <c r="CC84"/>
  <c r="CG84"/>
  <c r="CK84"/>
  <c r="CQ84"/>
  <c r="CU84"/>
  <c r="CY84"/>
  <c r="DE84"/>
  <c r="DQ30"/>
  <c r="DR30" s="1"/>
  <c r="AX27"/>
  <c r="BL27"/>
  <c r="BL31" s="1"/>
  <c r="BZ27"/>
  <c r="CN27"/>
  <c r="DB27"/>
  <c r="DP27"/>
  <c r="DP31" s="1"/>
  <c r="AY38"/>
  <c r="AX34"/>
  <c r="CZ84"/>
  <c r="CR84"/>
  <c r="CF84"/>
  <c r="BX84"/>
  <c r="BP84"/>
  <c r="BD84"/>
  <c r="AV84"/>
  <c r="CX31"/>
  <c r="CP31"/>
  <c r="DB26"/>
  <c r="CH31"/>
  <c r="BV31"/>
  <c r="BN31"/>
  <c r="BZ26"/>
  <c r="BF31"/>
  <c r="AT31"/>
  <c r="AL31"/>
  <c r="AX26"/>
  <c r="AJ26"/>
  <c r="AD31"/>
  <c r="AM31"/>
  <c r="AQ31"/>
  <c r="AU31"/>
  <c r="BA31"/>
  <c r="BE31"/>
  <c r="BI31"/>
  <c r="BO31"/>
  <c r="BS31"/>
  <c r="BW31"/>
  <c r="CC31"/>
  <c r="CG31"/>
  <c r="CK31"/>
  <c r="CQ31"/>
  <c r="CU31"/>
  <c r="CY31"/>
  <c r="DE31"/>
  <c r="DB22"/>
  <c r="CN22"/>
  <c r="CO22" s="1"/>
  <c r="DP22"/>
  <c r="DP21"/>
  <c r="DB21"/>
  <c r="CN21"/>
  <c r="BZ21"/>
  <c r="BL21"/>
  <c r="AX21"/>
  <c r="DI8"/>
  <c r="CY8"/>
  <c r="CU8"/>
  <c r="CQ8"/>
  <c r="CM8"/>
  <c r="CI8"/>
  <c r="CC8"/>
  <c r="BY8"/>
  <c r="BU8"/>
  <c r="BQ8"/>
  <c r="BI8"/>
  <c r="BE8"/>
  <c r="BA8"/>
  <c r="AU8"/>
  <c r="AQ8"/>
  <c r="AM8"/>
  <c r="AI8"/>
  <c r="AE8"/>
  <c r="AA8"/>
  <c r="DH8"/>
  <c r="DF8"/>
  <c r="DD8"/>
  <c r="CZ8"/>
  <c r="CX8"/>
  <c r="CV8"/>
  <c r="CT8"/>
  <c r="CR8"/>
  <c r="CP8"/>
  <c r="CL8"/>
  <c r="CJ8"/>
  <c r="CH8"/>
  <c r="CF8"/>
  <c r="CD8"/>
  <c r="CB8"/>
  <c r="BX8"/>
  <c r="BV8"/>
  <c r="BT8"/>
  <c r="BR8"/>
  <c r="BP8"/>
  <c r="BN8"/>
  <c r="BJ8"/>
  <c r="BH8"/>
  <c r="BF8"/>
  <c r="BD8"/>
  <c r="BB8"/>
  <c r="AZ8"/>
  <c r="AV8"/>
  <c r="AT8"/>
  <c r="AR8"/>
  <c r="AP8"/>
  <c r="AN8"/>
  <c r="AL8"/>
  <c r="AH8"/>
  <c r="AF8"/>
  <c r="AD8"/>
  <c r="AB8"/>
  <c r="Z8"/>
  <c r="X8"/>
  <c r="DG8"/>
  <c r="DE8"/>
  <c r="DA8"/>
  <c r="CW8"/>
  <c r="CS8"/>
  <c r="CK8"/>
  <c r="CG8"/>
  <c r="CE8"/>
  <c r="BW8"/>
  <c r="BS8"/>
  <c r="BO8"/>
  <c r="BK8"/>
  <c r="BG8"/>
  <c r="BC8"/>
  <c r="AW8"/>
  <c r="AS8"/>
  <c r="AO8"/>
  <c r="AG8"/>
  <c r="AC8"/>
  <c r="Y8"/>
  <c r="H172"/>
  <c r="CB31"/>
  <c r="DP174"/>
  <c r="DP176" s="1"/>
  <c r="DE176"/>
  <c r="DB167"/>
  <c r="DC167" s="1"/>
  <c r="DQ167" s="1"/>
  <c r="DR167" s="1"/>
  <c r="DB165"/>
  <c r="DC165" s="1"/>
  <c r="DQ165" s="1"/>
  <c r="DR165" s="1"/>
  <c r="DB163"/>
  <c r="DC163" s="1"/>
  <c r="DQ163" s="1"/>
  <c r="DR163" s="1"/>
  <c r="DB161"/>
  <c r="DC161" s="1"/>
  <c r="DQ161" s="1"/>
  <c r="DR161" s="1"/>
  <c r="DB159"/>
  <c r="DC159" s="1"/>
  <c r="DQ159" s="1"/>
  <c r="DR159" s="1"/>
  <c r="DP167"/>
  <c r="DP165"/>
  <c r="DP163"/>
  <c r="DP161"/>
  <c r="DP159"/>
  <c r="DB157"/>
  <c r="DC157" s="1"/>
  <c r="DQ157" s="1"/>
  <c r="DR157" s="1"/>
  <c r="DQ155"/>
  <c r="DR155" s="1"/>
  <c r="DP154"/>
  <c r="DB152"/>
  <c r="DC152" s="1"/>
  <c r="DQ152" s="1"/>
  <c r="DR152" s="1"/>
  <c r="DP150"/>
  <c r="DB148"/>
  <c r="DC148" s="1"/>
  <c r="DQ148" s="1"/>
  <c r="DR148" s="1"/>
  <c r="DP146"/>
  <c r="DQ142"/>
  <c r="DR142" s="1"/>
  <c r="DQ139"/>
  <c r="DR139" s="1"/>
  <c r="DQ144"/>
  <c r="DR144" s="1"/>
  <c r="DQ138"/>
  <c r="DR138" s="1"/>
  <c r="DB132"/>
  <c r="DC132" s="1"/>
  <c r="DQ132" s="1"/>
  <c r="DR132" s="1"/>
  <c r="DB131"/>
  <c r="DC131" s="1"/>
  <c r="DQ131" s="1"/>
  <c r="DR131" s="1"/>
  <c r="DB130"/>
  <c r="DC130" s="1"/>
  <c r="DQ130" s="1"/>
  <c r="DR130" s="1"/>
  <c r="CN129"/>
  <c r="CO129" s="1"/>
  <c r="DC129" s="1"/>
  <c r="DQ129" s="1"/>
  <c r="DR129" s="1"/>
  <c r="CO126"/>
  <c r="DC126" s="1"/>
  <c r="DQ126" s="1"/>
  <c r="DR126" s="1"/>
  <c r="CN123"/>
  <c r="CO123" s="1"/>
  <c r="DB123"/>
  <c r="DP123"/>
  <c r="DB121"/>
  <c r="CO119"/>
  <c r="DC119" s="1"/>
  <c r="DQ119" s="1"/>
  <c r="DR119" s="1"/>
  <c r="DB127"/>
  <c r="DC127" s="1"/>
  <c r="DQ127" s="1"/>
  <c r="DR127" s="1"/>
  <c r="DP127"/>
  <c r="CN125"/>
  <c r="CO125" s="1"/>
  <c r="DC125" s="1"/>
  <c r="DQ125" s="1"/>
  <c r="DR125" s="1"/>
  <c r="DB125"/>
  <c r="DP125"/>
  <c r="CO122"/>
  <c r="DC122" s="1"/>
  <c r="DQ122" s="1"/>
  <c r="DR122" s="1"/>
  <c r="CO120"/>
  <c r="DC120" s="1"/>
  <c r="DQ120" s="1"/>
  <c r="DR120" s="1"/>
  <c r="CN118"/>
  <c r="CO118" s="1"/>
  <c r="DC118" s="1"/>
  <c r="DQ118" s="1"/>
  <c r="DR118" s="1"/>
  <c r="DB116"/>
  <c r="CN116"/>
  <c r="CO116" s="1"/>
  <c r="DB114"/>
  <c r="CN114"/>
  <c r="CO114" s="1"/>
  <c r="DB112"/>
  <c r="CN112"/>
  <c r="CO112" s="1"/>
  <c r="DB110"/>
  <c r="CN110"/>
  <c r="CO110" s="1"/>
  <c r="CA101"/>
  <c r="CO101" s="1"/>
  <c r="DC101" s="1"/>
  <c r="DQ101" s="1"/>
  <c r="DR101" s="1"/>
  <c r="BL99"/>
  <c r="BM99" s="1"/>
  <c r="CA99" s="1"/>
  <c r="CO99" s="1"/>
  <c r="DC99" s="1"/>
  <c r="DQ99" s="1"/>
  <c r="DR99" s="1"/>
  <c r="CN98"/>
  <c r="BL98"/>
  <c r="BZ98"/>
  <c r="CN97"/>
  <c r="BL97"/>
  <c r="DB97"/>
  <c r="CN96"/>
  <c r="BZ96"/>
  <c r="BL96"/>
  <c r="BM96" s="1"/>
  <c r="CA96" s="1"/>
  <c r="CO96" s="1"/>
  <c r="DC96" s="1"/>
  <c r="DQ96" s="1"/>
  <c r="DR96" s="1"/>
  <c r="BZ102"/>
  <c r="CN102"/>
  <c r="DB102"/>
  <c r="DP102"/>
  <c r="BZ100"/>
  <c r="CN100"/>
  <c r="DB100"/>
  <c r="DP100"/>
  <c r="BM94"/>
  <c r="CA94" s="1"/>
  <c r="CO94" s="1"/>
  <c r="DC94" s="1"/>
  <c r="DQ94" s="1"/>
  <c r="DR94" s="1"/>
  <c r="DG171"/>
  <c r="CU171"/>
  <c r="CM171"/>
  <c r="CE171"/>
  <c r="BS171"/>
  <c r="BK171"/>
  <c r="BC171"/>
  <c r="AW171"/>
  <c r="DB50"/>
  <c r="CN50"/>
  <c r="BZ50"/>
  <c r="DB49"/>
  <c r="CN49"/>
  <c r="BZ49"/>
  <c r="DB48"/>
  <c r="CN48"/>
  <c r="BZ48"/>
  <c r="DB47"/>
  <c r="CN47"/>
  <c r="BZ47"/>
  <c r="DB46"/>
  <c r="CN46"/>
  <c r="BZ46"/>
  <c r="DB45"/>
  <c r="CN45"/>
  <c r="BZ45"/>
  <c r="DB44"/>
  <c r="CN44"/>
  <c r="BZ44"/>
  <c r="BL44"/>
  <c r="BM44" s="1"/>
  <c r="DB43"/>
  <c r="CN43"/>
  <c r="BZ43"/>
  <c r="BL43"/>
  <c r="BM43" s="1"/>
  <c r="DB42"/>
  <c r="CN42"/>
  <c r="BZ42"/>
  <c r="BL42"/>
  <c r="BM42" s="1"/>
  <c r="DB41"/>
  <c r="CN41"/>
  <c r="BZ41"/>
  <c r="BL41"/>
  <c r="BM41" s="1"/>
  <c r="DB40"/>
  <c r="CN40"/>
  <c r="BZ40"/>
  <c r="BL40"/>
  <c r="BM40" s="1"/>
  <c r="DB39"/>
  <c r="CN39"/>
  <c r="BZ39"/>
  <c r="BL39"/>
  <c r="DB38"/>
  <c r="CN38"/>
  <c r="BZ38"/>
  <c r="BL38"/>
  <c r="CW171"/>
  <c r="CK171"/>
  <c r="CC171"/>
  <c r="BU171"/>
  <c r="BI171"/>
  <c r="BB171"/>
  <c r="AV171"/>
  <c r="BD171"/>
  <c r="BH171"/>
  <c r="BN171"/>
  <c r="BZ86"/>
  <c r="BZ171" s="1"/>
  <c r="BR171"/>
  <c r="BV171"/>
  <c r="CB171"/>
  <c r="CN86"/>
  <c r="CN171" s="1"/>
  <c r="CF171"/>
  <c r="CJ171"/>
  <c r="CP171"/>
  <c r="DB86"/>
  <c r="DB171" s="1"/>
  <c r="CT171"/>
  <c r="CX171"/>
  <c r="DD171"/>
  <c r="DP86"/>
  <c r="DP171" s="1"/>
  <c r="DH171"/>
  <c r="DQ80"/>
  <c r="DR80" s="1"/>
  <c r="DP80"/>
  <c r="DB78"/>
  <c r="DC78" s="1"/>
  <c r="DQ78" s="1"/>
  <c r="DR78" s="1"/>
  <c r="DB76"/>
  <c r="DC76" s="1"/>
  <c r="DQ76" s="1"/>
  <c r="DR76" s="1"/>
  <c r="DB75"/>
  <c r="DC75" s="1"/>
  <c r="DQ75" s="1"/>
  <c r="DR75" s="1"/>
  <c r="DB74"/>
  <c r="DC74" s="1"/>
  <c r="DQ74" s="1"/>
  <c r="DR74" s="1"/>
  <c r="DB72"/>
  <c r="DC72" s="1"/>
  <c r="DQ72" s="1"/>
  <c r="DR72" s="1"/>
  <c r="DB71"/>
  <c r="DC71" s="1"/>
  <c r="DQ71" s="1"/>
  <c r="DR71" s="1"/>
  <c r="DB70"/>
  <c r="DC70" s="1"/>
  <c r="DQ70" s="1"/>
  <c r="DR70" s="1"/>
  <c r="DB69"/>
  <c r="DC69" s="1"/>
  <c r="DQ69" s="1"/>
  <c r="DR69" s="1"/>
  <c r="DB68"/>
  <c r="DC68" s="1"/>
  <c r="DQ68" s="1"/>
  <c r="DR68" s="1"/>
  <c r="DB67"/>
  <c r="DC67" s="1"/>
  <c r="DQ67" s="1"/>
  <c r="DR67" s="1"/>
  <c r="DB66"/>
  <c r="DC66" s="1"/>
  <c r="DQ66" s="1"/>
  <c r="DR66" s="1"/>
  <c r="DB65"/>
  <c r="DC65" s="1"/>
  <c r="DQ65" s="1"/>
  <c r="DR65" s="1"/>
  <c r="DB64"/>
  <c r="DC64" s="1"/>
  <c r="DQ64" s="1"/>
  <c r="DR64" s="1"/>
  <c r="DB63"/>
  <c r="DC63" s="1"/>
  <c r="DQ63" s="1"/>
  <c r="DR63" s="1"/>
  <c r="DB62"/>
  <c r="DC62" s="1"/>
  <c r="DQ62" s="1"/>
  <c r="DR62" s="1"/>
  <c r="DB61"/>
  <c r="DC61" s="1"/>
  <c r="DQ61" s="1"/>
  <c r="DR61" s="1"/>
  <c r="DP58"/>
  <c r="DB58"/>
  <c r="CN58"/>
  <c r="CO58" s="1"/>
  <c r="DC58" s="1"/>
  <c r="DQ58" s="1"/>
  <c r="DR58" s="1"/>
  <c r="DP54"/>
  <c r="DB54"/>
  <c r="CN54"/>
  <c r="CO54" s="1"/>
  <c r="DP52"/>
  <c r="DB52"/>
  <c r="CN52"/>
  <c r="BZ51"/>
  <c r="CA51" s="1"/>
  <c r="CO51" s="1"/>
  <c r="DC51" s="1"/>
  <c r="DQ51" s="1"/>
  <c r="DR51" s="1"/>
  <c r="CA50"/>
  <c r="CO50" s="1"/>
  <c r="DC50" s="1"/>
  <c r="DQ50" s="1"/>
  <c r="DR50" s="1"/>
  <c r="CA49"/>
  <c r="CA48"/>
  <c r="CO48" s="1"/>
  <c r="DC48" s="1"/>
  <c r="DQ48" s="1"/>
  <c r="DR48" s="1"/>
  <c r="CA47"/>
  <c r="CA46"/>
  <c r="CO46" s="1"/>
  <c r="DC46" s="1"/>
  <c r="DQ46" s="1"/>
  <c r="DR46" s="1"/>
  <c r="CA45"/>
  <c r="DB34"/>
  <c r="CN34"/>
  <c r="BZ34"/>
  <c r="BL34"/>
  <c r="BM34" s="1"/>
  <c r="AK31"/>
  <c r="AY26"/>
  <c r="DI84"/>
  <c r="CX84"/>
  <c r="CP84"/>
  <c r="DB33"/>
  <c r="CH84"/>
  <c r="BV84"/>
  <c r="BN84"/>
  <c r="BZ33"/>
  <c r="BF84"/>
  <c r="AT84"/>
  <c r="AW84"/>
  <c r="BC84"/>
  <c r="BG84"/>
  <c r="BK84"/>
  <c r="BQ84"/>
  <c r="BU84"/>
  <c r="BY84"/>
  <c r="CE84"/>
  <c r="CI84"/>
  <c r="CM84"/>
  <c r="CS84"/>
  <c r="CW84"/>
  <c r="DA84"/>
  <c r="DG84"/>
  <c r="AJ27"/>
  <c r="AK27"/>
  <c r="AY27" s="1"/>
  <c r="BM27" s="1"/>
  <c r="CA27" s="1"/>
  <c r="CO27" s="1"/>
  <c r="DC27" s="1"/>
  <c r="DQ27" s="1"/>
  <c r="DR27" s="1"/>
  <c r="CN31"/>
  <c r="DH7"/>
  <c r="DH24" s="1"/>
  <c r="DH172" s="1"/>
  <c r="DF7"/>
  <c r="DF24" s="1"/>
  <c r="CV7"/>
  <c r="CV24" s="1"/>
  <c r="CR7"/>
  <c r="CR24" s="1"/>
  <c r="CJ7"/>
  <c r="CJ24" s="1"/>
  <c r="CF7"/>
  <c r="CF24" s="1"/>
  <c r="CB7"/>
  <c r="BX7"/>
  <c r="BX24" s="1"/>
  <c r="BT7"/>
  <c r="BT24" s="1"/>
  <c r="BP7"/>
  <c r="BP24" s="1"/>
  <c r="BF7"/>
  <c r="BF24" s="1"/>
  <c r="AZ7"/>
  <c r="AV7"/>
  <c r="AV24" s="1"/>
  <c r="AR7"/>
  <c r="AR24" s="1"/>
  <c r="AN7"/>
  <c r="AN24" s="1"/>
  <c r="AD7"/>
  <c r="AD24" s="1"/>
  <c r="Z7"/>
  <c r="Z24" s="1"/>
  <c r="I24"/>
  <c r="I172" s="1"/>
  <c r="DI7"/>
  <c r="DI24" s="1"/>
  <c r="DG7"/>
  <c r="DG24" s="1"/>
  <c r="DE7"/>
  <c r="DE24" s="1"/>
  <c r="DA7"/>
  <c r="DA24" s="1"/>
  <c r="CY7"/>
  <c r="CY24" s="1"/>
  <c r="CY172" s="1"/>
  <c r="CW7"/>
  <c r="CW24" s="1"/>
  <c r="CU7"/>
  <c r="CU24" s="1"/>
  <c r="CS7"/>
  <c r="CS24" s="1"/>
  <c r="CQ7"/>
  <c r="CQ24" s="1"/>
  <c r="CM7"/>
  <c r="CM24" s="1"/>
  <c r="CK7"/>
  <c r="CK24" s="1"/>
  <c r="CI7"/>
  <c r="CI24" s="1"/>
  <c r="CG7"/>
  <c r="CG24" s="1"/>
  <c r="CE7"/>
  <c r="CE24" s="1"/>
  <c r="CC7"/>
  <c r="CC24" s="1"/>
  <c r="BY7"/>
  <c r="BY24" s="1"/>
  <c r="BW7"/>
  <c r="BW24" s="1"/>
  <c r="BU7"/>
  <c r="BU24" s="1"/>
  <c r="BS7"/>
  <c r="BS24" s="1"/>
  <c r="BQ7"/>
  <c r="BQ24" s="1"/>
  <c r="BO7"/>
  <c r="BO24" s="1"/>
  <c r="BK7"/>
  <c r="BK24" s="1"/>
  <c r="BI7"/>
  <c r="BI24" s="1"/>
  <c r="BG7"/>
  <c r="BG24" s="1"/>
  <c r="BE7"/>
  <c r="BE24" s="1"/>
  <c r="BC7"/>
  <c r="BC24" s="1"/>
  <c r="BA7"/>
  <c r="BA24" s="1"/>
  <c r="AW7"/>
  <c r="AW24" s="1"/>
  <c r="AU7"/>
  <c r="AU24" s="1"/>
  <c r="AS7"/>
  <c r="AS24" s="1"/>
  <c r="AQ7"/>
  <c r="AQ24" s="1"/>
  <c r="AO7"/>
  <c r="AO24" s="1"/>
  <c r="AM7"/>
  <c r="AM24" s="1"/>
  <c r="AI7"/>
  <c r="AI24" s="1"/>
  <c r="AG7"/>
  <c r="AG24" s="1"/>
  <c r="AE7"/>
  <c r="AE24" s="1"/>
  <c r="AC7"/>
  <c r="AC24" s="1"/>
  <c r="AA7"/>
  <c r="AA24" s="1"/>
  <c r="Y7"/>
  <c r="Y24" s="1"/>
  <c r="DD7"/>
  <c r="CZ7"/>
  <c r="CZ24" s="1"/>
  <c r="CZ172" s="1"/>
  <c r="CX7"/>
  <c r="CX24" s="1"/>
  <c r="CX172" s="1"/>
  <c r="CT7"/>
  <c r="CT24" s="1"/>
  <c r="CP7"/>
  <c r="CL7"/>
  <c r="CL24" s="1"/>
  <c r="CH7"/>
  <c r="CH24" s="1"/>
  <c r="CD7"/>
  <c r="CD24" s="1"/>
  <c r="BV7"/>
  <c r="BV24" s="1"/>
  <c r="BR7"/>
  <c r="BR24" s="1"/>
  <c r="BN7"/>
  <c r="BJ7"/>
  <c r="BJ24" s="1"/>
  <c r="BH7"/>
  <c r="BH24" s="1"/>
  <c r="BD7"/>
  <c r="BD24" s="1"/>
  <c r="BB7"/>
  <c r="BB24" s="1"/>
  <c r="AT7"/>
  <c r="AT24" s="1"/>
  <c r="AP7"/>
  <c r="AP24" s="1"/>
  <c r="AL7"/>
  <c r="AH7"/>
  <c r="AH24" s="1"/>
  <c r="AF7"/>
  <c r="AF24" s="1"/>
  <c r="AB7"/>
  <c r="AB24" s="1"/>
  <c r="X7"/>
  <c r="DB37"/>
  <c r="BZ37"/>
  <c r="AY37"/>
  <c r="BM37" s="1"/>
  <c r="CA37" s="1"/>
  <c r="CO37" s="1"/>
  <c r="DC37" s="1"/>
  <c r="DQ37" s="1"/>
  <c r="DR37" s="1"/>
  <c r="DB35"/>
  <c r="BZ35"/>
  <c r="AX35"/>
  <c r="DD84"/>
  <c r="DP33"/>
  <c r="CV84"/>
  <c r="CJ84"/>
  <c r="CB84"/>
  <c r="CN33"/>
  <c r="BT84"/>
  <c r="BH84"/>
  <c r="AZ84"/>
  <c r="BL33"/>
  <c r="BL84" s="1"/>
  <c r="AR84"/>
  <c r="DB29"/>
  <c r="DC29" s="1"/>
  <c r="DQ29" s="1"/>
  <c r="DR29" s="1"/>
  <c r="DF31"/>
  <c r="CT31"/>
  <c r="CL31"/>
  <c r="CD31"/>
  <c r="BR31"/>
  <c r="BJ31"/>
  <c r="BB31"/>
  <c r="AP31"/>
  <c r="AI31"/>
  <c r="AO31"/>
  <c r="AW31"/>
  <c r="BC31"/>
  <c r="BG31"/>
  <c r="BK31"/>
  <c r="BQ31"/>
  <c r="BU31"/>
  <c r="BY31"/>
  <c r="CE31"/>
  <c r="CI31"/>
  <c r="CM31"/>
  <c r="CS31"/>
  <c r="CW31"/>
  <c r="DA31"/>
  <c r="DG31"/>
  <c r="DB20"/>
  <c r="CN20"/>
  <c r="BZ20"/>
  <c r="BL20"/>
  <c r="BM20" s="1"/>
  <c r="AX20"/>
  <c r="AJ20"/>
  <c r="DB19"/>
  <c r="CN19"/>
  <c r="BZ19"/>
  <c r="BL19"/>
  <c r="AX19"/>
  <c r="AJ19"/>
  <c r="DB18"/>
  <c r="CN18"/>
  <c r="BZ18"/>
  <c r="BL18"/>
  <c r="BM18" s="1"/>
  <c r="AX18"/>
  <c r="AJ18"/>
  <c r="DB17"/>
  <c r="CN17"/>
  <c r="BZ17"/>
  <c r="BL17"/>
  <c r="AX17"/>
  <c r="AJ17"/>
  <c r="DB16"/>
  <c r="CN16"/>
  <c r="BZ16"/>
  <c r="BL16"/>
  <c r="BM16" s="1"/>
  <c r="AX16"/>
  <c r="AJ16"/>
  <c r="DB15"/>
  <c r="CN15"/>
  <c r="BZ15"/>
  <c r="BL15"/>
  <c r="AX15"/>
  <c r="AJ15"/>
  <c r="DB14"/>
  <c r="CN14"/>
  <c r="BZ14"/>
  <c r="BL14"/>
  <c r="BM14" s="1"/>
  <c r="AX14"/>
  <c r="AJ14"/>
  <c r="DB13"/>
  <c r="CN13"/>
  <c r="BZ13"/>
  <c r="BL13"/>
  <c r="AX13"/>
  <c r="AJ13"/>
  <c r="DB12"/>
  <c r="CN12"/>
  <c r="BZ12"/>
  <c r="BL12"/>
  <c r="BM12" s="1"/>
  <c r="AX12"/>
  <c r="AJ12"/>
  <c r="DB11"/>
  <c r="CN11"/>
  <c r="BZ11"/>
  <c r="BL11"/>
  <c r="AX11"/>
  <c r="AJ11"/>
  <c r="DP10"/>
  <c r="DB10"/>
  <c r="CN10"/>
  <c r="BZ10"/>
  <c r="BL10"/>
  <c r="BM10" s="1"/>
  <c r="CA10" s="1"/>
  <c r="CO10" s="1"/>
  <c r="DC10" s="1"/>
  <c r="DQ10" s="1"/>
  <c r="DR10" s="1"/>
  <c r="AX10"/>
  <c r="AJ10"/>
  <c r="DP9"/>
  <c r="DB9"/>
  <c r="CN9"/>
  <c r="BZ9"/>
  <c r="BL9"/>
  <c r="AX9"/>
  <c r="AJ9"/>
  <c r="AK21"/>
  <c r="AY21" s="1"/>
  <c r="BM21" s="1"/>
  <c r="CA21" s="1"/>
  <c r="CO21" s="1"/>
  <c r="DC21" s="1"/>
  <c r="DQ21" s="1"/>
  <c r="DR21" s="1"/>
  <c r="AK19"/>
  <c r="AY19" s="1"/>
  <c r="BM19" s="1"/>
  <c r="AK17"/>
  <c r="AY17" s="1"/>
  <c r="BM17" s="1"/>
  <c r="CA17" s="1"/>
  <c r="CO17" s="1"/>
  <c r="DC17" s="1"/>
  <c r="DQ17" s="1"/>
  <c r="DR17" s="1"/>
  <c r="AK15"/>
  <c r="AY15" s="1"/>
  <c r="BM15" s="1"/>
  <c r="AK13"/>
  <c r="AY13" s="1"/>
  <c r="BM13" s="1"/>
  <c r="CA13" s="1"/>
  <c r="CO13" s="1"/>
  <c r="DC13" s="1"/>
  <c r="DQ13" s="1"/>
  <c r="DR13" s="1"/>
  <c r="AK11"/>
  <c r="AY11" s="1"/>
  <c r="BM11" s="1"/>
  <c r="AK9"/>
  <c r="AY9" s="1"/>
  <c r="BM9" s="1"/>
  <c r="CA9" s="1"/>
  <c r="CO9" s="1"/>
  <c r="DC9" s="1"/>
  <c r="DQ9" s="1"/>
  <c r="DR9" s="1"/>
  <c r="DD31"/>
  <c r="AZ31"/>
  <c r="CO95" l="1"/>
  <c r="DC95" s="1"/>
  <c r="DQ95" s="1"/>
  <c r="DR95" s="1"/>
  <c r="CO86" i="2"/>
  <c r="CA35" i="1"/>
  <c r="CO35" s="1"/>
  <c r="DC35" s="1"/>
  <c r="DQ35" s="1"/>
  <c r="DR35" s="1"/>
  <c r="CA11"/>
  <c r="CO11" s="1"/>
  <c r="DC11" s="1"/>
  <c r="DQ11" s="1"/>
  <c r="DR11" s="1"/>
  <c r="CA15"/>
  <c r="CO15" s="1"/>
  <c r="DC15" s="1"/>
  <c r="DQ15" s="1"/>
  <c r="DR15" s="1"/>
  <c r="CA19"/>
  <c r="CO19" s="1"/>
  <c r="DC19" s="1"/>
  <c r="DQ19" s="1"/>
  <c r="DR19" s="1"/>
  <c r="CA12"/>
  <c r="CO12" s="1"/>
  <c r="DC12" s="1"/>
  <c r="DQ12" s="1"/>
  <c r="DR12" s="1"/>
  <c r="CA14"/>
  <c r="CO14" s="1"/>
  <c r="DC14" s="1"/>
  <c r="DQ14" s="1"/>
  <c r="DR14" s="1"/>
  <c r="CA16"/>
  <c r="CO16" s="1"/>
  <c r="DC16" s="1"/>
  <c r="DQ16" s="1"/>
  <c r="DR16" s="1"/>
  <c r="CA18"/>
  <c r="CO18" s="1"/>
  <c r="DC18" s="1"/>
  <c r="DQ18" s="1"/>
  <c r="DR18" s="1"/>
  <c r="CA20"/>
  <c r="CO20" s="1"/>
  <c r="DC20" s="1"/>
  <c r="DQ20" s="1"/>
  <c r="DR20" s="1"/>
  <c r="CN84"/>
  <c r="DP84"/>
  <c r="DI172"/>
  <c r="CA34"/>
  <c r="CO34" s="1"/>
  <c r="DC34" s="1"/>
  <c r="DQ34" s="1"/>
  <c r="DR34" s="1"/>
  <c r="CO45"/>
  <c r="DC45" s="1"/>
  <c r="DQ45" s="1"/>
  <c r="DR45" s="1"/>
  <c r="CO47"/>
  <c r="DC47" s="1"/>
  <c r="DQ47" s="1"/>
  <c r="DR47" s="1"/>
  <c r="CO49"/>
  <c r="DC49" s="1"/>
  <c r="DQ49" s="1"/>
  <c r="DR49" s="1"/>
  <c r="DC110"/>
  <c r="DQ110" s="1"/>
  <c r="DR110" s="1"/>
  <c r="DC112"/>
  <c r="DQ112" s="1"/>
  <c r="DR112" s="1"/>
  <c r="DC114"/>
  <c r="DQ114" s="1"/>
  <c r="DR114" s="1"/>
  <c r="DC116"/>
  <c r="DQ116" s="1"/>
  <c r="DR116" s="1"/>
  <c r="DC123"/>
  <c r="DQ123" s="1"/>
  <c r="DR123" s="1"/>
  <c r="DC22"/>
  <c r="DQ22" s="1"/>
  <c r="DR22" s="1"/>
  <c r="AX31"/>
  <c r="DC60"/>
  <c r="DQ60" s="1"/>
  <c r="DR60" s="1"/>
  <c r="AX171"/>
  <c r="CO103"/>
  <c r="DC103" s="1"/>
  <c r="DQ103" s="1"/>
  <c r="DR103" s="1"/>
  <c r="CO104"/>
  <c r="DC104" s="1"/>
  <c r="DQ104" s="1"/>
  <c r="DR104" s="1"/>
  <c r="CO105"/>
  <c r="DC105" s="1"/>
  <c r="DQ105" s="1"/>
  <c r="DR105" s="1"/>
  <c r="CO106"/>
  <c r="DC106" s="1"/>
  <c r="DQ106" s="1"/>
  <c r="DR106" s="1"/>
  <c r="CO107"/>
  <c r="DC107" s="1"/>
  <c r="DQ107" s="1"/>
  <c r="DR107" s="1"/>
  <c r="CO108"/>
  <c r="DC108" s="1"/>
  <c r="DQ108" s="1"/>
  <c r="DR108" s="1"/>
  <c r="CO109"/>
  <c r="DC109" s="1"/>
  <c r="DQ109" s="1"/>
  <c r="DR109" s="1"/>
  <c r="DC111"/>
  <c r="DQ111" s="1"/>
  <c r="DR111" s="1"/>
  <c r="DC115"/>
  <c r="DQ115" s="1"/>
  <c r="DR115" s="1"/>
  <c r="CP178" i="2"/>
  <c r="DD178" s="1"/>
  <c r="DE178" s="1"/>
  <c r="CA196"/>
  <c r="CO196" s="1"/>
  <c r="DC86"/>
  <c r="DQ86"/>
  <c r="DR86" s="1"/>
  <c r="CB182"/>
  <c r="CP182" s="1"/>
  <c r="DD182" s="1"/>
  <c r="DE182" s="1"/>
  <c r="I201"/>
  <c r="BM88"/>
  <c r="CA88" s="1"/>
  <c r="CO88" s="1"/>
  <c r="K91"/>
  <c r="K201" s="1"/>
  <c r="O91"/>
  <c r="O201" s="1"/>
  <c r="N91"/>
  <c r="N201" s="1"/>
  <c r="DQ85"/>
  <c r="DR85" s="1"/>
  <c r="DC85"/>
  <c r="BL188"/>
  <c r="BZ188" s="1"/>
  <c r="CN188" s="1"/>
  <c r="DB188" s="1"/>
  <c r="DC188" s="1"/>
  <c r="BL189"/>
  <c r="BZ189" s="1"/>
  <c r="CN189" s="1"/>
  <c r="DB189" s="1"/>
  <c r="DC189" s="1"/>
  <c r="BM191"/>
  <c r="CA191" s="1"/>
  <c r="CO191" s="1"/>
  <c r="DQ193"/>
  <c r="DR193" s="1"/>
  <c r="DC193"/>
  <c r="DQ196"/>
  <c r="DR196" s="1"/>
  <c r="DC196"/>
  <c r="DQ77"/>
  <c r="DR77" s="1"/>
  <c r="DC77"/>
  <c r="DQ81"/>
  <c r="DR81" s="1"/>
  <c r="DC81"/>
  <c r="DC83"/>
  <c r="DQ83"/>
  <c r="DR83" s="1"/>
  <c r="DQ84"/>
  <c r="DR84" s="1"/>
  <c r="DC84"/>
  <c r="DQ89"/>
  <c r="DR89" s="1"/>
  <c r="DC89"/>
  <c r="DQ190"/>
  <c r="DR190" s="1"/>
  <c r="DC190"/>
  <c r="DQ192"/>
  <c r="DR192" s="1"/>
  <c r="DC192"/>
  <c r="DQ194"/>
  <c r="DR194" s="1"/>
  <c r="DC194"/>
  <c r="P91"/>
  <c r="P201" s="1"/>
  <c r="DC74"/>
  <c r="DQ74"/>
  <c r="DR74" s="1"/>
  <c r="BM76"/>
  <c r="CA76" s="1"/>
  <c r="CO76" s="1"/>
  <c r="DC78"/>
  <c r="DQ78"/>
  <c r="DR78" s="1"/>
  <c r="BM80"/>
  <c r="CA80" s="1"/>
  <c r="CO80" s="1"/>
  <c r="DC82"/>
  <c r="DQ82"/>
  <c r="DR82" s="1"/>
  <c r="M91"/>
  <c r="M201" s="1"/>
  <c r="L91"/>
  <c r="L201" s="1"/>
  <c r="DQ75"/>
  <c r="DR75" s="1"/>
  <c r="DC75"/>
  <c r="DQ79"/>
  <c r="DR79" s="1"/>
  <c r="DC79"/>
  <c r="BM90"/>
  <c r="CA90" s="1"/>
  <c r="CO90" s="1"/>
  <c r="DQ87"/>
  <c r="DR87" s="1"/>
  <c r="DC87"/>
  <c r="BN181"/>
  <c r="CB181" s="1"/>
  <c r="CP181" s="1"/>
  <c r="DD181" s="1"/>
  <c r="DE181" s="1"/>
  <c r="BN183"/>
  <c r="CB183" s="1"/>
  <c r="CP183" s="1"/>
  <c r="DD183" s="1"/>
  <c r="DE183" s="1"/>
  <c r="BN185"/>
  <c r="CB185" s="1"/>
  <c r="CP185" s="1"/>
  <c r="DD185" s="1"/>
  <c r="DE185" s="1"/>
  <c r="CA195"/>
  <c r="CO195" s="1"/>
  <c r="BN24" i="1"/>
  <c r="BZ7"/>
  <c r="CP24"/>
  <c r="DB7"/>
  <c r="DD24"/>
  <c r="DD172" s="1"/>
  <c r="DP7"/>
  <c r="CW172"/>
  <c r="DA172"/>
  <c r="DG172"/>
  <c r="AZ24"/>
  <c r="BL7"/>
  <c r="DF172"/>
  <c r="AJ8"/>
  <c r="AK8"/>
  <c r="AY8" s="1"/>
  <c r="AX8"/>
  <c r="BL8"/>
  <c r="BZ8"/>
  <c r="CN8"/>
  <c r="DB8"/>
  <c r="DP8"/>
  <c r="AJ31"/>
  <c r="BZ31"/>
  <c r="CA31" s="1"/>
  <c r="BM38"/>
  <c r="CA38" s="1"/>
  <c r="CO38" s="1"/>
  <c r="DC38" s="1"/>
  <c r="DQ38" s="1"/>
  <c r="DR38" s="1"/>
  <c r="AX84"/>
  <c r="AY84"/>
  <c r="BM33"/>
  <c r="BM39"/>
  <c r="CA39" s="1"/>
  <c r="CO39" s="1"/>
  <c r="DC39" s="1"/>
  <c r="DQ39" s="1"/>
  <c r="DR39" s="1"/>
  <c r="CO52"/>
  <c r="DC52" s="1"/>
  <c r="DQ52" s="1"/>
  <c r="DR52" s="1"/>
  <c r="CA100"/>
  <c r="CO100" s="1"/>
  <c r="DC100" s="1"/>
  <c r="DQ100" s="1"/>
  <c r="DR100" s="1"/>
  <c r="X24"/>
  <c r="AJ7"/>
  <c r="AJ24" s="1"/>
  <c r="AK7"/>
  <c r="AL24"/>
  <c r="AX7"/>
  <c r="AX24" s="1"/>
  <c r="CB24"/>
  <c r="CN7"/>
  <c r="CN24" s="1"/>
  <c r="CV172"/>
  <c r="BZ84"/>
  <c r="DB84"/>
  <c r="AY31"/>
  <c r="BM26"/>
  <c r="DC54"/>
  <c r="DQ54" s="1"/>
  <c r="DR54" s="1"/>
  <c r="CA40"/>
  <c r="CO40" s="1"/>
  <c r="DC40" s="1"/>
  <c r="DQ40" s="1"/>
  <c r="DR40" s="1"/>
  <c r="CA41"/>
  <c r="CO41" s="1"/>
  <c r="DC41" s="1"/>
  <c r="DQ41" s="1"/>
  <c r="DR41" s="1"/>
  <c r="CA42"/>
  <c r="CO42" s="1"/>
  <c r="DC42" s="1"/>
  <c r="DQ42" s="1"/>
  <c r="DR42" s="1"/>
  <c r="CA43"/>
  <c r="CO43" s="1"/>
  <c r="DC43" s="1"/>
  <c r="DQ43" s="1"/>
  <c r="DR43" s="1"/>
  <c r="CA44"/>
  <c r="CO44" s="1"/>
  <c r="DC44" s="1"/>
  <c r="DQ44" s="1"/>
  <c r="DR44" s="1"/>
  <c r="DB31"/>
  <c r="DC56"/>
  <c r="DQ56" s="1"/>
  <c r="DR56" s="1"/>
  <c r="AY171"/>
  <c r="BM86"/>
  <c r="BL171"/>
  <c r="CA92"/>
  <c r="CO92" s="1"/>
  <c r="DC92" s="1"/>
  <c r="DQ92" s="1"/>
  <c r="DR92" s="1"/>
  <c r="CA88"/>
  <c r="CO88" s="1"/>
  <c r="DC88" s="1"/>
  <c r="DQ88" s="1"/>
  <c r="DR88" s="1"/>
  <c r="CA90"/>
  <c r="CO90" s="1"/>
  <c r="DC90" s="1"/>
  <c r="DQ90" s="1"/>
  <c r="DR90" s="1"/>
  <c r="CA102"/>
  <c r="CO102" s="1"/>
  <c r="DC102" s="1"/>
  <c r="DQ102" s="1"/>
  <c r="DR102" s="1"/>
  <c r="BM97"/>
  <c r="CA97" s="1"/>
  <c r="CO97" s="1"/>
  <c r="DC97" s="1"/>
  <c r="DQ97" s="1"/>
  <c r="DR97" s="1"/>
  <c r="BM98"/>
  <c r="CA98" s="1"/>
  <c r="CO98" s="1"/>
  <c r="DC98" s="1"/>
  <c r="DQ98" s="1"/>
  <c r="DR98" s="1"/>
  <c r="CO121"/>
  <c r="DC121" s="1"/>
  <c r="DQ121" s="1"/>
  <c r="DR121" s="1"/>
  <c r="DQ176"/>
  <c r="DR174"/>
  <c r="DR176" s="1"/>
  <c r="DQ195" i="2" l="1"/>
  <c r="DR195" s="1"/>
  <c r="DC195"/>
  <c r="DC90"/>
  <c r="DQ90"/>
  <c r="DR90" s="1"/>
  <c r="DC76"/>
  <c r="DQ76"/>
  <c r="DR76" s="1"/>
  <c r="DQ191"/>
  <c r="DR191" s="1"/>
  <c r="DC191"/>
  <c r="DC88"/>
  <c r="DQ88"/>
  <c r="DR88" s="1"/>
  <c r="DC80"/>
  <c r="DQ80"/>
  <c r="DR80" s="1"/>
  <c r="BM171" i="1"/>
  <c r="CA86"/>
  <c r="BM31"/>
  <c r="CA26"/>
  <c r="CO26" s="1"/>
  <c r="BM8"/>
  <c r="CA8" s="1"/>
  <c r="CO8" s="1"/>
  <c r="DC8" s="1"/>
  <c r="DQ8" s="1"/>
  <c r="DR8" s="1"/>
  <c r="DP24"/>
  <c r="DP172" s="1"/>
  <c r="DB24"/>
  <c r="DB172" s="1"/>
  <c r="BZ24"/>
  <c r="AK24"/>
  <c r="AY7"/>
  <c r="BM84"/>
  <c r="CA33"/>
  <c r="BL24"/>
  <c r="CA84" l="1"/>
  <c r="CO33"/>
  <c r="AY24"/>
  <c r="BM7"/>
  <c r="CO31"/>
  <c r="DC26"/>
  <c r="CA171"/>
  <c r="CO86"/>
  <c r="CO171" l="1"/>
  <c r="DC86"/>
  <c r="DC31"/>
  <c r="DQ26"/>
  <c r="BM24"/>
  <c r="CA7"/>
  <c r="CO84"/>
  <c r="DC33"/>
  <c r="DC84" l="1"/>
  <c r="DQ33"/>
  <c r="CA24"/>
  <c r="CO7"/>
  <c r="DC7" s="1"/>
  <c r="DQ31"/>
  <c r="DR26"/>
  <c r="DR31" s="1"/>
  <c r="DC171"/>
  <c r="DQ86"/>
  <c r="DC24" l="1"/>
  <c r="DC172" s="1"/>
  <c r="DQ7"/>
  <c r="DQ84"/>
  <c r="DR33"/>
  <c r="DR84" s="1"/>
  <c r="DQ171"/>
  <c r="DR86"/>
  <c r="DR171" s="1"/>
  <c r="DQ24" l="1"/>
  <c r="DQ172" s="1"/>
  <c r="DR7"/>
  <c r="DR24" s="1"/>
  <c r="DR172" s="1"/>
</calcChain>
</file>

<file path=xl/sharedStrings.xml><?xml version="1.0" encoding="utf-8"?>
<sst xmlns="http://schemas.openxmlformats.org/spreadsheetml/2006/main" count="1614" uniqueCount="945">
  <si>
    <t>FECHA</t>
  </si>
  <si>
    <t>CLASE</t>
  </si>
  <si>
    <t>CARACTERISTICAS</t>
  </si>
  <si>
    <t>UBICACIÓN</t>
  </si>
  <si>
    <t>MUEBLE</t>
  </si>
  <si>
    <t>VALOR DE</t>
  </si>
  <si>
    <t>VALOR</t>
  </si>
  <si>
    <t>VALOR A</t>
  </si>
  <si>
    <t>$</t>
  </si>
  <si>
    <t>TOTAL</t>
  </si>
  <si>
    <t xml:space="preserve">TOTAL </t>
  </si>
  <si>
    <t xml:space="preserve">VALOR </t>
  </si>
  <si>
    <t>ADQUISICION</t>
  </si>
  <si>
    <t>RESIDUAL</t>
  </si>
  <si>
    <t>DEPRECIAR</t>
  </si>
  <si>
    <t>1999</t>
  </si>
  <si>
    <t>2003</t>
  </si>
  <si>
    <t>2004</t>
  </si>
  <si>
    <t>2005</t>
  </si>
  <si>
    <t>2006</t>
  </si>
  <si>
    <t>2007</t>
  </si>
  <si>
    <t>2009</t>
  </si>
  <si>
    <t>1999-2011</t>
  </si>
  <si>
    <t>ENE-12</t>
  </si>
  <si>
    <t>FEB-12</t>
  </si>
  <si>
    <t>MAR-12</t>
  </si>
  <si>
    <t>ABR-12</t>
  </si>
  <si>
    <t>MAY-12</t>
  </si>
  <si>
    <t>JUN-12</t>
  </si>
  <si>
    <t>JUL-12</t>
  </si>
  <si>
    <t>AGO-12</t>
  </si>
  <si>
    <t>SEPT-12</t>
  </si>
  <si>
    <t>OCT-12</t>
  </si>
  <si>
    <t>NOV-12</t>
  </si>
  <si>
    <t>DIC-12</t>
  </si>
  <si>
    <t>2012</t>
  </si>
  <si>
    <t>1999-2012</t>
  </si>
  <si>
    <t>2013</t>
  </si>
  <si>
    <t>1999-2013</t>
  </si>
  <si>
    <t>1999-2014</t>
  </si>
  <si>
    <t>1999-2015</t>
  </si>
  <si>
    <t>1999-2016</t>
  </si>
  <si>
    <t>1999-2017</t>
  </si>
  <si>
    <t>ene- dic- 2018</t>
  </si>
  <si>
    <t>ACUMULADO</t>
  </si>
  <si>
    <t>ACTUAL</t>
  </si>
  <si>
    <t>INFRAESTRUCTURA</t>
  </si>
  <si>
    <t xml:space="preserve"> 24/06/1999</t>
  </si>
  <si>
    <t>CASA</t>
  </si>
  <si>
    <t>UBICADA EN SAN MIGUEL</t>
  </si>
  <si>
    <t>19/12/2005</t>
  </si>
  <si>
    <t>EDIFICIO  CAJA MUTUAL, SAN SALVADOR</t>
  </si>
  <si>
    <t>EDIFICIO  DE 4 PLANTAS  UBICADO EN SAN SALVADOR</t>
  </si>
  <si>
    <t>MAS COSTO ACUMULADOS DE  INVER.DEL EDIF.  DE LA CAJA</t>
  </si>
  <si>
    <t>07/03/2007</t>
  </si>
  <si>
    <t>MAS COSTO DE INVERSION SUBESTACION ELECTRICA</t>
  </si>
  <si>
    <t>05/02/2008</t>
  </si>
  <si>
    <t>CASETA DE VIGILANCIA</t>
  </si>
  <si>
    <t>CASETA DE VIGILANCIA DE 2 MTS DE LARGO X 1.20</t>
  </si>
  <si>
    <t>27/02/2008</t>
  </si>
  <si>
    <t>PASAMANOS</t>
  </si>
  <si>
    <t>PASAMANOS EMPOTRADO A PARED</t>
  </si>
  <si>
    <t>02/06/2008</t>
  </si>
  <si>
    <t>CONTADOR DE EVENTOS DE RAYOS</t>
  </si>
  <si>
    <t>MARCA INDELEC</t>
  </si>
  <si>
    <t>29/08/2008</t>
  </si>
  <si>
    <t>SISTEMA ELECTRICO</t>
  </si>
  <si>
    <t>25/02/2009</t>
  </si>
  <si>
    <t>BANCO DE CAPACITORES DE 48.3 KVAR</t>
  </si>
  <si>
    <t>MARCA EATON CUTLER HAMMER DE 3 0-60KVAR-240v-60hz</t>
  </si>
  <si>
    <t>07/12/2009</t>
  </si>
  <si>
    <t>TRANSFORMADOR SECO Y SUPRESOR DE TRASCIENTES</t>
  </si>
  <si>
    <t>TRANSFORMADOR:FEDERAL PACIFC MODELO: T242T1505: SUPRESOR DE TRASCIENTES: LIEBERT POWERSURE MODELO: LPM240H160</t>
  </si>
  <si>
    <t>18/12/2009</t>
  </si>
  <si>
    <t>DIVISIONES PARA ARCHIVO GENERAL EN 4º NIVEL</t>
  </si>
  <si>
    <t>16/12/2010</t>
  </si>
  <si>
    <t>EQUIPO DE PROTECCION TRIFASICA</t>
  </si>
  <si>
    <t>MARCA GENERAL ELECTRIC - DE 240V, 1250 AMPERIOS, 3 FASES COMPATIBLE CON ABB</t>
  </si>
  <si>
    <t>30/12/2011</t>
  </si>
  <si>
    <t>TAPIAL</t>
  </si>
  <si>
    <t>CONSTRUCCION DE TAPIAL, SUMINISTRO E INSTALACION DE PORTONES DE ACCESO VEHICULAR Y PUERTAS DE ACCESO PEATONAL EN SECTORES NORTE Y SUR</t>
  </si>
  <si>
    <t>23/11/2012</t>
  </si>
  <si>
    <t>ABRIDORES ANTIPÁNICO</t>
  </si>
  <si>
    <t>ABRIDORES ANTIPÁNICO : DOS EN PUERTA PRINCIPAL DE ACCESO AL EDIFICIO; UNO EN PUERTA ORIENTE Y UNO EN PUERTA DE EMERGENCIA DEL SEGUNDO NIVEL</t>
  </si>
  <si>
    <t>19/10/2015</t>
  </si>
  <si>
    <t>MOTO OPERADOR</t>
  </si>
  <si>
    <t xml:space="preserve">MOTO OPERADOR PARA AUTOMATIZAR EL CIERRE DEL INTERRUPTOR GENERAL EXISTENTE DEL SISTEMA ELECTRICO DEL EDIFICIO. </t>
  </si>
  <si>
    <t>08/06/207</t>
  </si>
  <si>
    <t>PANELES FOTOVOLTAICOS</t>
  </si>
  <si>
    <t>PANELES FOTOVOLTAICOS  CAPACIDAD NOMINAL DE 3kwP, CONSISTE EN PANELES SOLARES FOTOVOLTAICOS Y UN INVERSOR MONOFASICO, ESTRUCTURA DE MONTAJE SOBRE EL TECHO DEL EDIFICIO ES DE ALUMINIO Y LA TORNILLERÍA DE ACERO INOXIDABLE. EL SISTEMA ESTÁ CONECTADO EN TABLERO EN LAS FASES A Y B, Y CUENTA CON UN SISTEMA DE MONITOREO DE ENERGÍA GENERADA POR EL SISTEMA.</t>
  </si>
  <si>
    <t xml:space="preserve">TOTAL              </t>
  </si>
  <si>
    <t>EQUIPO AUTOMOTRIZ</t>
  </si>
  <si>
    <t>AUTOMOVIL ( N-5 819 )</t>
  </si>
  <si>
    <t>MARCA TOYOTA; MODELO  RAV4; COLOR GRIS CLARO; AÑO 2012; CAPACIDAD 5.00 ASS; CLASE AUTOMOVIL;TRACCION 4X4; TIPO RUSTICO; Nº MOTOR:2AZH856748; Nº DE CHASIS GRABADO:JTMBD33VX0D027656; Nº DE CHASIS VIN:N/T.</t>
  </si>
  <si>
    <t>455-180</t>
  </si>
  <si>
    <t>36106-02</t>
  </si>
  <si>
    <t>PICK UP  (N- 7515), DOBLE CABINA, COLOR PLATA METAILICO</t>
  </si>
  <si>
    <t>MARCA: TOYOTA, MODELO KUN 25L-HRMDH; TIPO PICK UP DOBLE CABINA; CLASE PICK UP; CHASIS VIN: SIN NUMERO; CHASIS GRABADO: MROFR22G400686938; NUMERO DE MOTOR: 2KD58300740; CILINDRAJE DE MOTOR:2,500CC; COLOR PLATA METALICO; AÑO 2013; COMBUSTIBLE: DIESEL; INVENTARIO: 00104943.</t>
  </si>
  <si>
    <t>455-110</t>
  </si>
  <si>
    <t>36104-04</t>
  </si>
  <si>
    <r>
      <t>PICK UP  (N- 7849), DOBLE CABINA, COLOR GRIS</t>
    </r>
    <r>
      <rPr>
        <b/>
        <sz val="6"/>
        <rFont val="Arial"/>
        <family val="2"/>
      </rPr>
      <t>*</t>
    </r>
  </si>
  <si>
    <t>MARCA MAZDA, MODELO BT 50, COLOR GRIS, AÑO 2015, CLASE PICK UP, TRACCIÓN 4X4, TIPO CABINA DOBLE, NÚMERO DE MOTOR WLAT1397309, NÚMERO DE CHASIS GRABADO MM7UNYOW4F0941340.</t>
  </si>
  <si>
    <t>36104-05</t>
  </si>
  <si>
    <t>MARCA CHEVROLET,COLOR GRIS, AÑO 2016</t>
  </si>
  <si>
    <t>MICROBÚS, MODELO ACC16P, CHASIS VIN SIN NÚMERO,CHASIS GRABADO: LZWACAGA366072685; NÚMERO DE MOTOR: LAQUG42220875; CILINDRAJE/MOTOR:1200CC; COLOR : PLATA MÉTALICO; AÑO: 2016, COMBUSTIBLE: GASOLINA; INVENTARIO: 00020735, PLACA No.N-9576.</t>
  </si>
  <si>
    <t>455-181</t>
  </si>
  <si>
    <t>36103-03</t>
  </si>
  <si>
    <t>ASCENSOR DE PASAJEROS*</t>
  </si>
  <si>
    <t>SUMINISTRO E INSTALACIÓN DE UN ELEVADOR DE PASAJEROS , PARA EL EDIFCIO DE OFICINAS CENTRALES.</t>
  </si>
  <si>
    <t>MAQUINARIA , EQUIPO Y MOBILIARIO DIVERSO</t>
  </si>
  <si>
    <t>STAN PARA RECEPCIÓN</t>
  </si>
  <si>
    <t>MATERIAL : ESTRUCTURA DE MADERA AGLOMERADA, FORROS DE PLÁSTICOS LAMINADOS, BISAGRAS OCULTAS,LLAVINES Y PASADORES, TORNILLERIS CON TAPONES,MEDIDAS MÍNIMAS 2.00 METROS DE LARGO</t>
  </si>
  <si>
    <t>455-181-01</t>
  </si>
  <si>
    <t>31142-01</t>
  </si>
  <si>
    <t>AIRE ACONDICIONADO</t>
  </si>
  <si>
    <t>MARCA: WESTTINGHOUSE; TIPO MINI SPLIT; CAPACIDAD DE 60,000BTU;EFICIENCIA SEER 13; REFRIGERANTE ECOLOGICO410A. MODELO: VSX130601BA, SERIE CONDENSADOR No. 1301512735; SERIE EVAPORADOR No.D202021100113110160009.</t>
  </si>
  <si>
    <t>455-184</t>
  </si>
  <si>
    <t>30301-55</t>
  </si>
  <si>
    <t>MARCA: WESTTINGHOUSE; TIPO MINI SPLIT; CAPACIDAD DE 60,000BTU;EFICIENCIA SEER 13; REFRIGERANTE ECOLOGICO410A. MODELO: VSX130601BA, SERIE CONDENSADOR No. 1301512768; SERIE EVAPORADOR No.D202021100113110160008.</t>
  </si>
  <si>
    <t>30301-56</t>
  </si>
  <si>
    <t>MARCA: WESTTINGHOUSE; TIPO MINI SPLIT; CAPACIDAD DE 60,000BTU;EFICIENCIA SEER 13; REFRIGERANTE ECOLOGICO410A. MODELO: VSX130601BA, SERIE CONDENSADOR  No. 1301512769, SERIE EVAPORADOR No.D202021100113110160067.</t>
  </si>
  <si>
    <t>455-150</t>
  </si>
  <si>
    <t>30301-57</t>
  </si>
  <si>
    <t>MARCA: WESTTINGHOUSE; TIPO MINI SPLIT; CAPACIDAD DE 60,000BTU;EFICIENCIA SEER 13; REFRIGERANTE ECOLOGICO410A. MODELO: VSX130601BA, SERIE CONDENSADOR No. 1301512720, SERIE EVAPORADOR No. D202021100113110160024.</t>
  </si>
  <si>
    <t>30301-58</t>
  </si>
  <si>
    <t>TANQUE ELEVADO</t>
  </si>
  <si>
    <t>TANQUE ELEVADO PARA CENTRO CULTURAL Y RECREATIVO DE LA CAJA (CASA DE SAN MIGUEL).</t>
  </si>
  <si>
    <t>35503-01</t>
  </si>
  <si>
    <t>REFRIGERADORA</t>
  </si>
  <si>
    <t>REFRIGERADORA DE 18 PIES CUBICOS, MARCA FRIGIDAIRE, MODELO FFTR1814LM. NÈMERO DE PUERTAS :2 PUERTAS, GAVETAS PARA VERDURAS Y FRUTAS.</t>
  </si>
  <si>
    <t>30310-06</t>
  </si>
  <si>
    <t>STAND  MODULAR</t>
  </si>
  <si>
    <t>STAND MODULAR EN ESTRUCTURA DE PERFILERIA DE ALUMINIO DE 85 Y 25 PANELES DE PVC, EN ESPUMADO Y PROLIPPOPILENO ALVEOLAR , PISO ALFOMBRADO, EN BASE A PLATAFORMA DE CONTRACHAPADO ESTRUCTURAL, CUBIERTO CON PLANCHAS DE ALMINIO DIAMAMTADO , ILUMINACI´´ON DICROICA COUNTER SIN PUERTA INTERIOR Y CUBIERTA DE MDF LACADA, MEDIDA 3X2MTS.</t>
  </si>
  <si>
    <t>455-192</t>
  </si>
  <si>
    <t>31142-02</t>
  </si>
  <si>
    <t xml:space="preserve">MARCA: LENNOX, TIPO MINI SPLIT, CAPACIDAD DE 12,000BTU EFICIENCIA SEER 13, REFRIGERANTE ECOLOGICO 410A. MODELO DE EVAPORADOR AHGR12130P4, SERIE : 3A70320000224. MODELO DE CONDENSADOR MCGRO12130, </t>
  </si>
  <si>
    <t>455-173H</t>
  </si>
  <si>
    <t>30301-59</t>
  </si>
  <si>
    <t xml:space="preserve">MARCA: LENNOX, TIPO MINI SPLIT, CAPACIDAD DE 12,000BTU EFICIENCIA SEER 13, REFRIGERANTE ECOLOGICO 410A. MODELO DE EVAPORADOR AHGR12130P4, SERIE : 3A70320000308. MODELO DE CONDENSADOR MCGRO12130, </t>
  </si>
  <si>
    <t>455-173N</t>
  </si>
  <si>
    <t>30301-60</t>
  </si>
  <si>
    <t>MARCA: LENNOX, TIPO MINI SPLIT, CAPACIDAD DE 12,000BTU EFICIENCIA SEER 13, REFRIGERANTE ECOLOGICO 410A. MODELO DE EVAPORADOR AHGR12130P4, SERIE : 3A70320000319. MODELO DE CONDENSADOR MCGRO12130, SERIE:</t>
  </si>
  <si>
    <t>455-173B</t>
  </si>
  <si>
    <t>30301-61</t>
  </si>
  <si>
    <t xml:space="preserve">MARCA: LENNOX, TIPO MINI SPLIT, CAPACIDAD DE 12,000BTU EFICIENCIA SEER 13, REFRIGERANTE ECOLOGICO 410A. MODELO DE EVAPORADOR AHGR12130P4, SERIE : 3A70320000314. MODELO DE CONDENSADOR MCGRO12130, </t>
  </si>
  <si>
    <t>455-173K</t>
  </si>
  <si>
    <t>30301-62</t>
  </si>
  <si>
    <t xml:space="preserve">MARCA: LENNOX, TIPO MINI SPLIT, CAPACIDAD DE 12,000BTU EFICIENCIA SEER 13, REFRIGERANTE ECOLOGICO 410A. MODELO DE EVAPORADOR AHGR12130P4, SERIE :.MODELO DE CONDENSADOR MCGRO12130, </t>
  </si>
  <si>
    <t>455-173L</t>
  </si>
  <si>
    <t>30301-63</t>
  </si>
  <si>
    <t>GRABADOR DE VIDEO DIGITAL, INCLUYE 10 CAMARAS( DVR)</t>
  </si>
  <si>
    <t>MARCA HIKVISIÓN, MODELO DS-7216HVI-SV, SERIE 486240932</t>
  </si>
  <si>
    <t>30305-02</t>
  </si>
  <si>
    <t>CONDENSADOR: MARCA INNOVAR, MODELO HOE24C2MR83, SERIE HOE202115130413903150056; EVAPORADOR: MARCA INNOVAR, MODELO EV1302DB6, SERIE D202115130213903120249. CAPACIDAD 24,000 BTU.  UBICADO EN AREA DE REUNIONES DE COMISIONES DE CONSEJO DIRECTIVO EN TERCER NIVEL.</t>
  </si>
  <si>
    <t>30301-64</t>
  </si>
  <si>
    <t>CONDENSADOR: MARCA INNOVAR, MODELO C70C2AB1, SERIE C703154750513729400152; EVAPORADOR: MARCA INNOVAR, MODELO C70C2AB1, SERIE 105170101121100052. CAPACIDAD 60,000BTU. UBICADO EN SALA DE REUNIONES DE CONSEJO DIRECTIVO EN EL TERCER NIVEL.</t>
  </si>
  <si>
    <t>30301-65</t>
  </si>
  <si>
    <t>ARCHIVO DE ALTA DENSIDAD</t>
  </si>
  <si>
    <t>ARCHIVO DE ALTA DENSIDAD PARA RESGUARDO DE INFORMACIÓN CONTABLE.</t>
  </si>
  <si>
    <t>455-162</t>
  </si>
  <si>
    <t>30105-130</t>
  </si>
  <si>
    <t>30105-131</t>
  </si>
  <si>
    <t>30105-132</t>
  </si>
  <si>
    <t>EQUIPO DE AIRE ACONDICIONADO MARCA CONFORTSTAR, 220-230/1PH/60HZ CON GAS REFRIGERANTE. MODELO CCI18CD(0) CONDENSADOR Y  CCI18CD(2) EVAPORADOR.</t>
  </si>
  <si>
    <t>30301-66</t>
  </si>
  <si>
    <t>APARATOS DE SONIDO</t>
  </si>
  <si>
    <t>EQUIPO DE SONIDO, CON LOS COMPONENTES SIGUIENTES: CONSOLA ESTERO  12 CANALES COMO MINIMO;AMPLIFICADOR DE FUERZA ESTEREO; TORNAMESA SENCILLA CON CD,USB,MP3 2 UNIDADES COMO RACK, COMO  MÍNIMO; RACK PARA EQUIPO DE 10X12 ESPACIIOS, MATERIAL PLAYWOOD CON PLÁSTICOS PVC,ORILLAS PROTECTORAS DE ALUMINIO; BOCINAS PÁSIVAS 2 VÍAS PARA ESCENARIOS, MONITOR DE PISO,ALTAVOZ DE ESCENARIOS PASIVO DUAL15"2-VÍAS1400W;BOCINAS PÁSIVAS 2 VÍAS PARA TRÍPODE; PEDESTAL PARA BOCINA, MARCA STINGER, CABLE BALANCEADO PARA MICROFONO, MARCA PROEL; CABLE PARA BOCINA Y ACONDICIONADOR DE CORRIENTE CON CAPACIDAD DE 15 AMPERIOS.</t>
  </si>
  <si>
    <t>30319-03</t>
  </si>
  <si>
    <t>PARED POP UP IMANTADA</t>
  </si>
  <si>
    <t>PARED POP UP IMANTADA CON SU IMPRESIÓN EN VINIL ADHESIVO, IMPRESO A FULL COLOR.</t>
  </si>
  <si>
    <t>31501-70</t>
  </si>
  <si>
    <t>ARCHIVO DE ALTA DENSIDAD PARA RESGUARDO DE INFORMACIÓN CONTABLE:  UN CARRO MÓVIL DE 3.30m DE LONGITUD(/1.20/0.9/1.20) y 2.4m ALTURA PARA BANDEJAS TAMAÑO OFICIO(15"), CINCO NIVELES.</t>
  </si>
  <si>
    <t>30105-139</t>
  </si>
  <si>
    <t>30105-140</t>
  </si>
  <si>
    <t>ARCHIVO DE ALTA DENSIDAD PARA RESGUARDO DE INFORMACIÓN  DE AFILIACIÓN:   UN CARRO MÓVIL DE 3.90m DE LONGITUD(/1.3/1.3/1.3) y 2.0m ALTURA PARA BANDEJAS TAMAÑO OFICIO(15"), CON RESPALDO,CINCO NIVELES.</t>
  </si>
  <si>
    <t>455-171</t>
  </si>
  <si>
    <t>30105-141</t>
  </si>
  <si>
    <t>30105-142</t>
  </si>
  <si>
    <t>30105-143</t>
  </si>
  <si>
    <t>30105-144</t>
  </si>
  <si>
    <t>30105-145</t>
  </si>
  <si>
    <t>AIRE ACONDICIONADO*</t>
  </si>
  <si>
    <t>EQUIPO DE AIRE ACONDICIONADO TIPO MINI SPLIT DE 18,000 BTU/H, GAS R-410A,220V/HP/60HZ, MARCA CONFOR STAR, SERIE No.B31936186901N00389.</t>
  </si>
  <si>
    <t>455-173AA</t>
  </si>
  <si>
    <t>30301-67</t>
  </si>
  <si>
    <t>EQUIPO DE AIRE ACONDICIONADO TIPO MINI SPLIT DE 12,000 BTU/H, GAS R-410A,220V/HP/60HZ, MARCA CONFOR STAR, SERIE No. B31956186903N00003.</t>
  </si>
  <si>
    <t>455-173F</t>
  </si>
  <si>
    <t>30301-68</t>
  </si>
  <si>
    <t xml:space="preserve">CAMARA DE VIDEO PROFESIONAL </t>
  </si>
  <si>
    <t>CAMARA DE VIDEO PROFESIONAL FULL HD, MARCA SONY, MODELO HXR-MC2500, SERIE 1201233</t>
  </si>
  <si>
    <t>35901-34</t>
  </si>
  <si>
    <t>MICROFONOS</t>
  </si>
  <si>
    <t>SISTEMA DE MICROFONOS  INALAMBRICO DE MANO MARCA SHURE , MODELO BLX24/PG58, SERIES No. 3OG0109283 Y 30L1165960.</t>
  </si>
  <si>
    <t>30330-02</t>
  </si>
  <si>
    <t>EQUIPO DE AIRE ACONDICIONADO  DE 24,000 BTU/H, GAS R-410A,220V/HP/60HZ, MARCA CONFOR STAR, CONDENSADOR  MODELO: CC24CD-M(0), SERIE No. A19186329803W00079; EVAPORADOR MODELO: CCE24CD-M(I), SERIE No. B31966186902N00147.</t>
  </si>
  <si>
    <t>455-182</t>
  </si>
  <si>
    <t>30301-69</t>
  </si>
  <si>
    <t>EQUIPO DE AIRE ACONDICIONADO  DE 9,000 BTU/H, GAS R-410A,220V/HP/60HZ, MARCA CONFOR STAR, CONDENSADOR  MODELO: CCE09CD-N(0), SERIE No. 3495560000911; EVAPORADOR MODELO: CCE09-N(I), SERIE No. 3497160000090.</t>
  </si>
  <si>
    <t>30301-70</t>
  </si>
  <si>
    <t>EQUIPO DE AIRE ACONDICIONADO  DE 9,000 BTU/H, GAS R-410A,220V/HP/60HZ, MARCA CONFOR STAR, CONDENSADOR  MODELO: CCE09CD-N(0), SERIE No. 3495560000900; EVAPORADOR MODELO: CCE09CD-N(I), SERIE No. 3497460000058.</t>
  </si>
  <si>
    <t>455-130</t>
  </si>
  <si>
    <t>30301-71</t>
  </si>
  <si>
    <t>EQUIPO DE AIRE ACONDICIONADO  DE 9,000 BTU/H, GAS R-410A,220V/HP/60HZ, MARCA CONFOR STAR, CONDENSADOR  MODELO: CCE09CD-N(0), SERIE No. 3495560000926; EVAPORADOR MODELO: CCE09CD-N(I), SERIE No. 3497460000059.</t>
  </si>
  <si>
    <t>455-161</t>
  </si>
  <si>
    <t>30301-72</t>
  </si>
  <si>
    <t>EQUIPO DE AIRE ACONDICIONADO  DE 9,000 BTU/H, GAS R-410A,220V/HP/60HZ, MARCA CONFOR STAR, CONDENSADOR  MODELO: CCE09CD-N(0), SERIE No. 3495560000901; EVAPORADOR MODELO: CCE09CD-N(I), SERIE No. 3497460000063.</t>
  </si>
  <si>
    <t>30301-73</t>
  </si>
  <si>
    <t>CANNOPY</t>
  </si>
  <si>
    <t>CANNOPY MARCO DE 10X10 PIES, ESTRUCTURA DE VIDRIO ANODIZADO LIVIANO, CON COBERTURA DE PINTURA EN POLVO  RESISTENTE AL OXIDO, COLOR BLANCO.</t>
  </si>
  <si>
    <t>455-173</t>
  </si>
  <si>
    <t>31516-22</t>
  </si>
  <si>
    <t>31516-23</t>
  </si>
  <si>
    <t>APARATOS DE SONIDO/ SISTEMA DE PERIFONEO PARA VEHÍCULO.</t>
  </si>
  <si>
    <t>APARATOS DE SONIDO/ SISTEMA DE PERIFONEO PARA VEHÍCULO, MARCA SKY, MODELOMPA-60.</t>
  </si>
  <si>
    <t>30319-04</t>
  </si>
  <si>
    <t>EQUIPO DE AIRE ACONDCICIONADO TIPO MINISPLIT DE 12,000BTU/H, SEER 13, R-410A,220V/1HP/60HZ, MARCA COMFORT STAR</t>
  </si>
  <si>
    <t>455-120</t>
  </si>
  <si>
    <t>30301-74</t>
  </si>
  <si>
    <t>EQUIPO DE AIRE ACONDCIONADO</t>
  </si>
  <si>
    <t>EQUIPO DE AIRE ACONDCIONADO , MARCA CONFORT STAR, TIPO MINISPLIT, DE 12,000 BTU/h ; SEER 13, GAS REFRIGERANTE 410, 220V/1HP/60HZ., SERIE  EVAPORADOR: A19176186903VV00011.</t>
  </si>
  <si>
    <t>455-173O</t>
  </si>
  <si>
    <t>30301-75</t>
  </si>
  <si>
    <t xml:space="preserve">MUEBLE DE COCINA DE PLYWOOD BANACK E 3/4" DE 3 METROS DE LARGO X0.90 METROS DE ALTURA EN FORMA DE L, </t>
  </si>
  <si>
    <t xml:space="preserve">MUEBLE DE COCINA DE PLYWOOD BANACK E 3/4" DE 3 METROS DE LARGO X0.90 METROS DE ALTURA EN FORMA DE L, CON CUBIERTA DE LAMINA POS FORMADA, BOCELES, FALDONES, PUERTAS Y GAVETAS CON ACABDO DE FORMICA DE PRIMERA CALIDAD: ENTREPAÑOS, BISAGRAS DE VAIVEN, HALADERAS Y RIELES METALICOS; ENTINTADO EN SU INTERIOR, ZÓCALO DE PINO CURADO DE 7 CMS CON ACABADO DE PINTURA DE ACEITE COLOR CAFE; INCLUYE LAVATRASTOS EMPOTRADO, TUBO DE ABASTO, SIFÓN Y TODO ACCESORIO NECESARIO PARA SU FUNCIONAMIENTO. </t>
  </si>
  <si>
    <t>31111-13</t>
  </si>
  <si>
    <t>EQUIPO DE AIRE ACONDCIONADO , MARCA CONFORT STAR, TIPO MINISPLIT, DE 12,000 BTU/h ; SEER 13, GAS REFRIGERANTE 410MODELO CLE 12CD-410(1), EVAPORADOR SERIE 3E64470002988 Y CONDENSADOR  SERIE3021870003020</t>
  </si>
  <si>
    <t>30301-76</t>
  </si>
  <si>
    <t>EQUIPO DE AIRE ACONDCIONADO , MARCA CONFORT STAR, TIPO MINISPLIT, DE 12,000 BTU/h ; SEER 13, GAS REFRIGERANTE 410MODELO CLE 12CD-410(1), EVAPORADOR SERIE  3E64470002988 Y CONDENSADOR  SERIE 24-51029964489</t>
  </si>
  <si>
    <t>455-1730O</t>
  </si>
  <si>
    <t>30301-77</t>
  </si>
  <si>
    <t>CONDENSADOR  DE 5 TONELADAS, MARCA DAIKINI, SERIE: 1703123398, MODELO: DX135A0603AD.. REFREGERANTE ECOLOGICO R-410A, TRIFASICO, PARA SUSTITUIR CONDENSADOR DE EQUIPO CON CÓDIGO NÚMERO 455-140-30301-36, ASIGNADO A ASESOR JURÍDICO.</t>
  </si>
  <si>
    <t>455-140</t>
  </si>
  <si>
    <t>30301-36</t>
  </si>
  <si>
    <t>EQUIPO DE AIRE ACONDICIONADO MARCA LENOX, TIPO MINI SPLIT, DE 18,000BTU/H, SEER 13, GAS  410A, 220V/1hp/60H2; SERIE EVAPORADOR S2817J22816, SERIE CONDENSADOR S2817J72801</t>
  </si>
  <si>
    <t>30301-79</t>
  </si>
  <si>
    <t>EQUIPO DE AIRE ACONDICIONADO MARCA LENOX, TIPO MINI SPLIT, DE 18,000BTU/H, SEER 13, GAS  410A, 220V/1hp/60H2; SERIE EVAPORADOR S2817L17102, SERIE CONDENSADOR S2816J63397.</t>
  </si>
  <si>
    <t>30301-80</t>
  </si>
  <si>
    <t>SUBTOTAL</t>
  </si>
  <si>
    <t>EQUIPO INFORMATICO</t>
  </si>
  <si>
    <t xml:space="preserve">SWICH -MARCA DELL POWER CONNECT 2848, </t>
  </si>
  <si>
    <t>SWICH -MARCA DELL POWER CONNECT 2848,  S/ 7BW2VS1</t>
  </si>
  <si>
    <t>30203-27</t>
  </si>
  <si>
    <t>SWICH -MARCA DELL POWER CONNECT 2848,  S/ 1BW2VS1</t>
  </si>
  <si>
    <t>30203-28</t>
  </si>
  <si>
    <t>SWICH -MARCA DELL POWER CONNECT 2848,  S/ 6BW2VS1</t>
  </si>
  <si>
    <t>30203-29</t>
  </si>
  <si>
    <t xml:space="preserve">CORESWICH -MARCA DELL POWER CONNECT 6224, </t>
  </si>
  <si>
    <t>CORESWICH -MARCA DELL POWER CONNECT 6224, S/ FSKZTS1</t>
  </si>
  <si>
    <t>30203-30</t>
  </si>
  <si>
    <t>COMPUTADORA DE ESCRITORIO</t>
  </si>
  <si>
    <t>S/N MONITOR: 6CM3241LW3; S/N CPU: MXL3281DMH. 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</si>
  <si>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30201-117</t>
  </si>
  <si>
    <t>S/N MONITOR: 6CM3241LD9; S/N CPU: MXL3281DMP,PROCESADOR INTEL CORE i3-3220 ( 3MB CACHE,3.30GHZ), DISCO DURO SATA DE DE 500GB 7200RPM (3.0GB/S) 16MB CACHE, MEMEORIA RAM: 4GB DE MEMORIA UN SOLO CANALDDR3 SDRAM A 1600MHZ, 1 DIMM, MONITOR: 18.5" LED HP PANTALLA AMPLIA (VGA, DVID), ALTAVOCES ESTEREO DEL FABRICANTE, 3 AÑOS DE GARANTÌA CON SUSTITUCIÒN DE PARTES, TARJETA DE VIDEO: GRAFICOS INTEGRADOS INTEL HD, UNIDAD OPTICA: UNIDAD DE 16 X SATA (DVD +/- RW), TARJETA DE SONIDO: AUDIO INTEGRADO DE 5.1, TECLADO: TIPO USB, ESPAÑOL, MOUSE OPTICO TIPO USB. SOFTWARE: WINDOWS 8 PRO 32/64 BIT, ESPAÑOL, LICENCIA MICROSOFT OFFICE PROFESIONAL 2013 ESPAÑOL OPEN LICENCIA TIPO GOBIERNO, NERO DRIVER DEL EQUIPO.</t>
  </si>
  <si>
    <t>30201-118</t>
  </si>
  <si>
    <t>COMPUTADORA SERVIDOR</t>
  </si>
  <si>
    <t>SERVER 1: TIPO 7895, MODELO 23A, SERIE 21DCC3B</t>
  </si>
  <si>
    <t>30201-119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</si>
  <si>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</si>
  <si>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</si>
  <si>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</si>
  <si>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</si>
  <si>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</si>
  <si>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RED DE ALMACENAMIENTO (SAN)</t>
  </si>
  <si>
    <t>30205-01</t>
  </si>
  <si>
    <t>RACK PARA SERVER</t>
  </si>
  <si>
    <t>31141-03</t>
  </si>
  <si>
    <t>IMPRESOR LASER MULTIFUNCIONAL</t>
  </si>
  <si>
    <t>IMPRESOR LASER MULTIFUNCIONALMARCA TOSHIBA E2550C,INCLUYE SOFWARE PAPER CUT, SERIE/ C7K61332.</t>
  </si>
  <si>
    <t>30124-97</t>
  </si>
  <si>
    <t>IMPRESOR LASER MULTIFUNCIONALMARCA TOSHIBA E2550C,INCLUYE SOFWARE PAPER CUT, SERIE/ C7KC61369.</t>
  </si>
  <si>
    <t>30124-98</t>
  </si>
  <si>
    <t xml:space="preserve">CAÑÓN  PROYECTOR </t>
  </si>
  <si>
    <t>MARCA: EPSON , MODELO: POWERLITE X24+</t>
  </si>
  <si>
    <t>30324-05</t>
  </si>
  <si>
    <t>COMPUTADORA PORTATIL</t>
  </si>
  <si>
    <t>LAPTOP   MARCA HP4540S, PROCESADOR INTEL CORE, MEMORIA 4GB, DISCO DURO 500GB, PANTALLA 15.6", SISTEMA OPERATIVO : WINDOWS 8.64 Bit, INCLUYE: CABLE, FUENTE, MANUAL,S/N. 2CE3372X18, MODELO HP PROBOOK 454040S</t>
  </si>
  <si>
    <t>30202-15</t>
  </si>
  <si>
    <t>MARCA DELL, MODELO OPTIPLEX 3020 SFF, N/S. DE CPU: 3PNNY12; N/S DE MONITOR: CN0HDNH97287244MACDB; N/S TECLADO: CNODJ4627158145002Z7A01; N/S DE  MOUSE: CNO9RRC74872946C10X5; N/S PARLANTES: CNOCJ3783717476CO2XU.</t>
  </si>
  <si>
    <t>30201-122</t>
  </si>
  <si>
    <t>IMPRESOR  DE TARJETAS EN PVC( PARA CARNET DE ASEGURADOS)</t>
  </si>
  <si>
    <t>IMPRESOR DE PVC PARA CARNET DE ASEGURADOS, MARCA POLAROID P5500S, S/N No. X11365.</t>
  </si>
  <si>
    <t>30124-101</t>
  </si>
  <si>
    <t>MARCA KYOCERA, MODELO M2035 DN/L, SERIE LZK4202506</t>
  </si>
  <si>
    <t>455-173C</t>
  </si>
  <si>
    <t>30124-102</t>
  </si>
  <si>
    <t>MARCA KYOCERA, MODELO M2035 DN/L, SERIE LZK4202499</t>
  </si>
  <si>
    <t>455-173D</t>
  </si>
  <si>
    <t>30124-103</t>
  </si>
  <si>
    <t>MARCA KYOCERA, MODELO M2035 DN/L, SERIE LZK4202532</t>
  </si>
  <si>
    <t>455-173E</t>
  </si>
  <si>
    <t>30124-104</t>
  </si>
  <si>
    <t>MARCA KYOCERA, MODELO M2035 DN/L, SERIE LZK4509531</t>
  </si>
  <si>
    <t>30124-105</t>
  </si>
  <si>
    <t>MARCA KYOCERA, MODELO M2035 DN/L, SERIE LZK4202500</t>
  </si>
  <si>
    <t>455-173M</t>
  </si>
  <si>
    <t>30124-106</t>
  </si>
  <si>
    <t>MARCA KYOCERA, MODELO M2035 DN/L, SERIE LZK4202527</t>
  </si>
  <si>
    <t>30124-107</t>
  </si>
  <si>
    <t>TAPE BACK UP</t>
  </si>
  <si>
    <t>LIBRERÍA TAPE BACK , MARCA IBM, MODELO TS3200, S/N:78W5484.</t>
  </si>
  <si>
    <t>30126-05</t>
  </si>
  <si>
    <t>FIREWALL</t>
  </si>
  <si>
    <t>SOLUCIÓN DE SEGURIDAD (FIREWALL)</t>
  </si>
  <si>
    <t>455-151</t>
  </si>
  <si>
    <t>30203-32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</si>
  <si>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 CN0FF47641804C74QTB. </t>
  </si>
  <si>
    <t>455-173A</t>
  </si>
  <si>
    <t>30201-123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</si>
  <si>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3N2MS22; MONITOR E1941H, SERIE  MONITOR:CN0FF47641804C7501B. </t>
  </si>
  <si>
    <t>30201-124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</si>
  <si>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3MWHS22; MONITOR E1941H, SERIE MONITOR.CN0FF47641804C74ZYB. </t>
  </si>
  <si>
    <t>30201-125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</si>
  <si>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3N4MS22; MONITOR E1941H, SERIE MONITOR.CN0FF47641804CD1RPB. </t>
  </si>
  <si>
    <t>30201-126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</si>
  <si>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3MXKS22; MONITOR E1941H, SERIE MONITOR.CN0FF47641804CD1JTB. </t>
  </si>
  <si>
    <t>30201-127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</si>
  <si>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3MWBS22; MONITOR E1941H, SERIE MONITOR.CN0FF47641804CD03DB. </t>
  </si>
  <si>
    <t>30201-128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</si>
  <si>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3NPJS22; MONITOR E1941H, SERIE MONITOR.CN0HDNH9728724BHANRM. </t>
  </si>
  <si>
    <t>455-173G</t>
  </si>
  <si>
    <t>30201-129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</si>
  <si>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3NQJS22; MONITOR E1941H, SERIE MONITOR.CN0HDNH9728724BHC4WM. </t>
  </si>
  <si>
    <t>455-173J</t>
  </si>
  <si>
    <t>30201-130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</si>
  <si>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3MV9S22; MONITOR E1941H, SERIE MONITOR:CN0HDNH9728724BHC27M. </t>
  </si>
  <si>
    <t>30201-131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</si>
  <si>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3NFCS22; MONITOR E1941H, SERIE MONITOR.CN0HDNH9728724BHANEM. </t>
  </si>
  <si>
    <t>30201-132</t>
  </si>
  <si>
    <t xml:space="preserve">COMPUTADORA DE ESCRITORIO i54690 3.5Ghz, PROCESADOR INTEL CORE i5-4690 3.50 Ghz CON 6MB CACHE, FRECUENCIA DE TURBO MÁXIMO HASTA 3.90Ghz, 4GB DE MEMORIA RAM DDR3-1600Mhz, DISCO  500GB DE 7200RPM, SUPER MULTI DVD, TARJETA DE RED 10/100/1000, TECLADO EN ESPAÑOL Y MOUSE ÓPTICO DELL , GARANTÍA 3 AÑOS POR DESPERFECTOS DE FABRICA.CPU DELL OPTIPLEX3020, SERIE CPU: 3N5NS22; MONITOR E1941H, SERIE MONITOR.CN0HDNH9728724BBARPM. </t>
  </si>
  <si>
    <t>30201-133</t>
  </si>
  <si>
    <t xml:space="preserve">COMPUTADORA DE ESCRITORIO i54690 3.5Ghz, PROCESADOR INTEL CORE i5-4690 3.50 Ghz CON 6MB CACHE, FRECUENCIA DE TURBO MÁXIMO HASTA 3.90Ghz, 4GB DE MEMORIA RAM DDR3-1600Mhz, DISCO DURO DE 500GB DE 7200RPM, SUPER MULTI DVD, TARJETA DE RED 10/100/1000, TECLADO EN ESPAÑOL Y MOUSE ÓPTICO DELL , GARANTÍA 3 AÑOS POR DESPERFECTOS DE FABRICA.CPU DELL OPTIPLEX3020, SERIE CPU: 3N8MS22; MONITOR E1941H, SERIE MONITOR.CN0HDNH9728724BHAPHM. </t>
  </si>
  <si>
    <t>30201-134</t>
  </si>
  <si>
    <t>MARCA KYOCERA, SERIE LZK5536983</t>
  </si>
  <si>
    <t>30124-110</t>
  </si>
  <si>
    <t>MARCA KYOCERA, SERIE LZK5536988</t>
  </si>
  <si>
    <t>30124-111</t>
  </si>
  <si>
    <t>MARCA KYOCERA, SERIE LZK5130698</t>
  </si>
  <si>
    <t>30124-112</t>
  </si>
  <si>
    <t>DUPLICADOR DE DVD</t>
  </si>
  <si>
    <t>MARCA. PRO DUPLICATOR, SERIE NS: EM-80862</t>
  </si>
  <si>
    <t>30138-02</t>
  </si>
  <si>
    <t>COMPUTADORA DE ESCRITORIO MARCA DELL, MODELO OPTIPLEX 7040, SERIE 7JTKQD2; MONITOR DELL E1916H, SERIE XJ5TR675FE3U, INCLUYE TECLADO Y MOUSE.</t>
  </si>
  <si>
    <t>30201-135</t>
  </si>
  <si>
    <t>COMPUTADORA DE ESCRITORIO MARCA DELL, MODELO OPTIPLEX 7040, SERIE 7JRMQD2; MONITOR DELL E1916H, SERIE XJ5TR675FE4U, INCLUYE TECLADO Y MOUSE.</t>
  </si>
  <si>
    <t>30201-136</t>
  </si>
  <si>
    <t>LAPTOP MARCA HP, MODELO  ELITE BOOK 840G3, SERIE 5CG6326Y15.</t>
  </si>
  <si>
    <t>30202-24</t>
  </si>
  <si>
    <t>IMPRESOR MULTIFUNCIONAL</t>
  </si>
  <si>
    <t>IMPRESOR LASER MULTIFUNCIONAL MONOCROMATICO, MARCA KYOCERA, MODELO: M2035, SERIE  LZK6459474..</t>
  </si>
  <si>
    <t>30124-114</t>
  </si>
  <si>
    <t>30124-115</t>
  </si>
  <si>
    <t>IMPRESOR  LASER</t>
  </si>
  <si>
    <t>IMPRESOR  LASER MULTIFUNCIONAL CON IMPRESIÓN EN COLOR NEGRO, MARCA KYOCERA,SERIE LSM6825197,       MODELO  M3550</t>
  </si>
  <si>
    <t>455-160</t>
  </si>
  <si>
    <t>30124-117</t>
  </si>
  <si>
    <t>IMPRESOR DE PVC PARA CARNET</t>
  </si>
  <si>
    <t>IMPRESOR DE PVC PARA CARNET, MARCA VALID, MODELO P5500S.</t>
  </si>
  <si>
    <t>30124-119</t>
  </si>
  <si>
    <t>COMPUTADORA DE ESCRITORIO, MARCA HP PRO DESK 400 G3, NUMERO DE SERIE MXL6504HF1.</t>
  </si>
  <si>
    <t>455-173I</t>
  </si>
  <si>
    <t>30201-137</t>
  </si>
  <si>
    <t>COMPUTADORA DE ESCRITORIO, MARCA HP PRO DESK 400 G3, NUMERO DE SERIE MXL6504HH2</t>
  </si>
  <si>
    <t>30201-138</t>
  </si>
  <si>
    <t>COMPUTADORA DE ESCRITORIO, MARCA HP PRO DESK 400 G3, NUMERO DE SERIE MXL6504HFT.</t>
  </si>
  <si>
    <t>30201-139</t>
  </si>
  <si>
    <t>COMPUTADORA LAPTOP</t>
  </si>
  <si>
    <t>COMPUTADORA LAPTOP, MARCA HP, PROBOOK450 G4, NÚMERO DE SERIE5CD7160THS</t>
  </si>
  <si>
    <t>30202-25</t>
  </si>
  <si>
    <t>COMPUTADORA LAPTOP, MARCA HP, PROBOOK450 G4, NÚMERO DE SERIE 5CD7160TJ2</t>
  </si>
  <si>
    <t>30202-26</t>
  </si>
  <si>
    <t>COMPUTADORA LAPTOP, MARCA HP, PROBOOK450 G4, NÚMERO DE SERIE 5CD7160TJ5</t>
  </si>
  <si>
    <t>30202-27</t>
  </si>
  <si>
    <t>IMPRESOR LASER SEMI INDUSTRIAL, MULTIFUNCIONAl.</t>
  </si>
  <si>
    <t>IMPRESOR LASER SEMI INDUSTRIAL, MULTIFUNCIONAL,  MARCA KYOCERA, MODELO M3550idn, SERIE LAM6825196.</t>
  </si>
  <si>
    <t>455-200</t>
  </si>
  <si>
    <t>30124-121</t>
  </si>
  <si>
    <t xml:space="preserve">IMPRESOR LASER SEMI INDUSTRIAL MULTIFUNCIONAL, </t>
  </si>
  <si>
    <t>IMPRESOR LASER SEMI INDUSTRIAL, MULTIFUNCIONAL,  MARCA KYOCERA, MODELO M2035dn,  SERIE LZK6459504</t>
  </si>
  <si>
    <t>30124-122</t>
  </si>
  <si>
    <t>IMPRESOR LASER SEMI INDUSTRIAL MULTIFUNCIONAL</t>
  </si>
  <si>
    <t>IMPRESOR LASER SEMI INDUSTRIAL, MULTIFUNCIONAL,  MARCA KYOCERA, MODELO M2035dn, , SERIE LZK6459487</t>
  </si>
  <si>
    <t>30124-123</t>
  </si>
  <si>
    <t>IMPRESOR LASER SEMI INDUSTRIAL, MULTIFUNCIONAL,  MARCA KYOCERA, MODELO M2035dn, SERIE LZK6459506</t>
  </si>
  <si>
    <t>30124-124</t>
  </si>
  <si>
    <t>DISPOSITIVOS DE SEGURIDAD FIREWALL</t>
  </si>
  <si>
    <t>FIREWALL,MARCA  FORTINET, MODELO:  FORTIGATE30E, SERIE: FGT30E3U16026803</t>
  </si>
  <si>
    <t>30203-38</t>
  </si>
  <si>
    <t>FIREWALL,MARCA FORTIGATE, MODELO: FORTINET 30E, SERIE: FGT30E3U16026997</t>
  </si>
  <si>
    <t>30203-39</t>
  </si>
  <si>
    <t>FIREWALL,MARCA FORTIGATE, MODELO: FORTINET 30E, SERIE: FGT30E3U16026884</t>
  </si>
  <si>
    <t>30203-40</t>
  </si>
  <si>
    <t>FIREWALL,MARCA FORTIGATE, MODELO: FORTINET 30E, SERIE: FGT30E3U16026828</t>
  </si>
  <si>
    <t>30203-41</t>
  </si>
  <si>
    <t>FIREWALL,MARCA FORTIGATE, MODELO: FORTINET 30E, SERIE: FGT30E3U16026808</t>
  </si>
  <si>
    <t>30203-42</t>
  </si>
  <si>
    <t>FIREWALL,MARCA FORTIGATE, MODELO: FORTINET 30E, SERIE: FGT30E3U16026827</t>
  </si>
  <si>
    <t>30203-43</t>
  </si>
  <si>
    <t>FIREWALL,MARCA FORTIGATE, MODELO: FORTINET 30E, SERIE:FGT30E3U16027143</t>
  </si>
  <si>
    <t>30203-44</t>
  </si>
  <si>
    <t>FIREWALL,MARCA FORTIGATE, MODELO: FORTINET 30E, SERIE:FGT30E3U16030796</t>
  </si>
  <si>
    <t>30203-45</t>
  </si>
  <si>
    <t>FIREWALL,MARCA FORTIGATE, MODELO: FORTINET 30E, SERIE:FGT30E3U16027208</t>
  </si>
  <si>
    <t>30203-46</t>
  </si>
  <si>
    <t>FIREWALL,MARCA FORTIGATE, MODELO: FORTINET 30E, SERIE:FGT30E3U16027196.</t>
  </si>
  <si>
    <t>30203-47</t>
  </si>
  <si>
    <t>FIREWALL,MARCA FORTIGATE, MODELO: FORTINET 30E, SERIE:FGT30E3U16030817</t>
  </si>
  <si>
    <t>30203-48</t>
  </si>
  <si>
    <t>FIREWALL,MARCA FORTIGATE, MODELO: FORTINET 30E, SERIE:FGT30E3U16030690</t>
  </si>
  <si>
    <t>30203-49</t>
  </si>
  <si>
    <t>FIREWALL,MARCA FORTIGATE, MODELO: FORTINET 30E, SERIE:FGT30E3U16030805</t>
  </si>
  <si>
    <t>30203-50</t>
  </si>
  <si>
    <t>FIREWALL,MARCA FORTIGATE, MODELO: FORTINET 30E, SERIE:FGT30E3U16031110</t>
  </si>
  <si>
    <t>30203-51</t>
  </si>
  <si>
    <t>FIREWALL,MARCA FORTIGATE, MODELO: FORTINET 30E, SERIE:FGT30E3U16031889</t>
  </si>
  <si>
    <t>30203-52</t>
  </si>
  <si>
    <t xml:space="preserve">COMPUTADORA DE ESCRITORIO, MARCA DELL OPTIPLEX 3050, NÚMERO DE SERIE DE CPU 6ZK1KH2. MONITOR DE 18.5", NÚMERO DE SERIE CN-0XJ5TR-72872-6AQ-DCJB
</t>
  </si>
  <si>
    <t>30201-140</t>
  </si>
  <si>
    <t>COMPUTADORA DE ESCRITORIO, MARCA DELL OPTIPLEX 3050, NÚMERO DE SERIE DE CPU 597SJH2.  MONITOR DE 18.5", NÚMERO DE SERIE CN-0XJ5TR-72872-687-CG0B
.</t>
  </si>
  <si>
    <t>30201-141</t>
  </si>
  <si>
    <t xml:space="preserve">COMPUTADORA DE ESCRITORIO, MARCA DELL OPTIPLEX 3050, NÚMERO DE SERIE DE CPU 6Z24KH2.  MONITOR DE 18.5", NÚMERO DE SERIE CN-0XJ5TR-72872-6C6-CEPB
</t>
  </si>
  <si>
    <t>30201-142</t>
  </si>
  <si>
    <t xml:space="preserve">COMPUTADORA DE ESCRITORIO, MARCA DELL OPTIPLEX 3050, NÚMERO DE SERIE DE CPU 6YQ5KH2.  MONITOR DE 18.5", NÚMERO DE SERIE CN-0XJ5TR-72872-6B7-CFWB
</t>
  </si>
  <si>
    <t>30201-143</t>
  </si>
  <si>
    <t xml:space="preserve">COMPUTADORA DE ESCRITORIO, MARCA DELL OPTIPLEX 3050, NÚMERO DE SERIE DE CPU 6Z75KH2.  MONITOR DE 18.5", NÚMERO DE SERIE CN-0XJ5TR-72872-6AQ-DE8B
</t>
  </si>
  <si>
    <t>30201-144</t>
  </si>
  <si>
    <t xml:space="preserve">COMPUTADORA DE ESCRITORIO, MARCA DELL OPTIPLEX 3050, NÚMERO DE SERIE DE CPU 6ZC1KH2.  MONITOR DE 18.5", NÚMERO DE SERIE CN-0XJ5TR-72872-6AQ-DD4B
</t>
  </si>
  <si>
    <t>30201-145</t>
  </si>
  <si>
    <t xml:space="preserve">COMPUTADORA DE ESCRITORIO, MARCA DELL OPTIPLEX 3050, NÚMERO DE SERIE DE CPU 6Z07KH2.  MONITOR DE 18.5", NÚMERO DE SERIECN-0XJ5TR-72872-6B7-CA3B
</t>
  </si>
  <si>
    <t>30201-146</t>
  </si>
  <si>
    <t xml:space="preserve">COMPUTADORA DE ESCRITORIO, MARCA DELL OPTIPLEX 3050, NÚMERO DE SERIE DE CPU 6ZG6KH2.  MONITOR DE 18.5", NÚMERO DE SERIE CN-0XJ5TR-72872-6BN-DLAB
</t>
  </si>
  <si>
    <t>30201-147</t>
  </si>
  <si>
    <t>COMPUTADORA LAPTOP, MARCA HP PRO BOOK450 G4, SERIE 5CD7022VB4, CUENTA CON MALETÍN DE RESGUARDO, CABLE DE SEGURIDAD, MOUSE Y TECLADO INALAMBRICO, MARCA LOGITECH, MODELO MK270. LICENCIA DE WINDOWS 10 PROFESIONAL Y MICROSOFT OFFICE HOGAR Y EMPRESA 2016.</t>
  </si>
  <si>
    <t>30201-148</t>
  </si>
  <si>
    <t>SERVIDOR DE APLICACIONES</t>
  </si>
  <si>
    <t>COMPUTADORA SERVIDOR, MARCA LENOVO, MODELO FLEX SYSTEM X240, SERIE: J11KKM9</t>
  </si>
  <si>
    <t>CONTENEDOR DE DISCOS DUROS DE SAN, INCLUYE 6 DISCOS DUROS CON UN COSTO C/U DE $646.00</t>
  </si>
  <si>
    <t>CONTENEDOR DE DISCOS DUROS DE SAN, MARCA IBM. MODELO STORWIZE V3700. SERIE: 78D2951.; INCLUYE 6 DISCOS DUROS CON UN COSTO C/U DE $646.00, SERIES DE DISCOS DUROS: 11S00FJ068YXXXW420APA6, 11S00FJ068YXXXW420AP76, 11S00FJ068YXXXW420APC7, 11S00FJ068YXXXW420AP98, 11S00FJ068YXXXW420APZ5, 11S00FJ068YXXXW420APEX.</t>
  </si>
  <si>
    <t>30228-01</t>
  </si>
  <si>
    <t>DISPOSITIVO PARA PUNTO DE ACCESO INALAMBRICO. SERIE NÚMERO: FP221C3X14041445</t>
  </si>
  <si>
    <t>30203-53</t>
  </si>
  <si>
    <t xml:space="preserve">SUB TOTAL </t>
  </si>
  <si>
    <t>22615003  DERECHOS DE PROPIEDAD INTELECTUAL</t>
  </si>
  <si>
    <t>30/06/2017</t>
  </si>
  <si>
    <t>LICENCIA MAGIC XPA 2.5, 20 USUARIOS</t>
  </si>
  <si>
    <t>0.00</t>
  </si>
  <si>
    <t>20/12/2017</t>
  </si>
  <si>
    <t xml:space="preserve">PROGRAMA PARA PRESTAMOS </t>
  </si>
  <si>
    <t>SUB TOTAL</t>
  </si>
  <si>
    <t>BIENES DADOS EN COMODATO:</t>
  </si>
  <si>
    <t xml:space="preserve"> EL CONTRATO DE COMODATO SE FIRMO CON FECHA 16 DE OCTUBRE DEL 2014. </t>
  </si>
  <si>
    <t>BOMBA TERMO-NEBULIZADORA</t>
  </si>
  <si>
    <t>BOMBA TERMO-NEBULIZADORA: MATERIAL DEL DEPOSITO PLÁSTICO, CAPACIDAD DEL DEPOSITO QUIMICO 4.5 LITROS, COMBUSTIBLE GASOLINA, AARANQUE AUTOMATICO/ MANUAL, CAPACIDAD DE TANQUE DE COMBUSRIBLE 1.20 LITROS. SERIE: VTF00005022.</t>
  </si>
  <si>
    <t>35902-01</t>
  </si>
  <si>
    <t>BOMBA TERMO-NEBULIZADORA: MATERIAL DEL DEPOSITO PLÁSTICO, CAPACIDAD DEL DEPOSITO QUIMICO 4.5 LITROS, COMBUSTIBLE GASOLINA, AARANQUE AUTOMATICO/ MANUAL, CAPACIDAD DE TANQUE DE COMBUSRIBLE 1.20 LITROS. SERIE. VTF00005030.</t>
  </si>
  <si>
    <t>35902-02</t>
  </si>
  <si>
    <t>BOMBA TERMO-NEBULIZADORA: MATERIAL DEL DEPOSITO PLÁSTICO, CAPACIDAD DEL DEPOSITO QUIMICO 4.5 LITROS, COMBUSTIBLE GASOLINA, AARANQUE AUTOMATICO/ MANUAL, CAPACIDAD DE TANQUE DE COMBUSRIBLE 1.20 LITROS. SERIE. VTF000005031.</t>
  </si>
  <si>
    <t>35902-03</t>
  </si>
  <si>
    <t>*PICK UP  (N- 7849), DOBLE CABINA, COLOR GRIS INICIA SU DEPRECIACIÓN EN FECHA 8 DE JULIO DEL 2015, SEGÚN ACTA DE RECEPCIÓN. LA FACTURA TIENE FECHA 30 DE JUNIO 2015.</t>
  </si>
  <si>
    <t>AUTORIZO:</t>
  </si>
  <si>
    <t>CONCILIO:</t>
  </si>
  <si>
    <t>ELABORO:</t>
  </si>
  <si>
    <t>OSCAR FERNANDO PORTILLO SILVA</t>
  </si>
  <si>
    <t>LICDA. CECI MARIBEL SÁNCHEZ DE RAMÍREZ</t>
  </si>
  <si>
    <t>MAYRA ESTELA BENÍTEZ BENAVIDES</t>
  </si>
  <si>
    <t>JEFE DE LOGISTICA Y  ACTIVOS</t>
  </si>
  <si>
    <t>JEFE UNIDAD CONTABLE</t>
  </si>
  <si>
    <t xml:space="preserve">ASISTENTE DE LOGÍSTICA Y  ACTIVOS </t>
  </si>
  <si>
    <t>________________________________</t>
  </si>
  <si>
    <t>___________________________________</t>
  </si>
  <si>
    <t>______________________________</t>
  </si>
  <si>
    <t>_____________________________</t>
  </si>
  <si>
    <t>CONCILIADO:</t>
  </si>
  <si>
    <t>˳˳˳˳˳</t>
  </si>
  <si>
    <t>1990</t>
  </si>
  <si>
    <t>1991</t>
  </si>
  <si>
    <t>1992</t>
  </si>
  <si>
    <t>1993</t>
  </si>
  <si>
    <t>1994</t>
  </si>
  <si>
    <t>1995</t>
  </si>
  <si>
    <t>1996</t>
  </si>
  <si>
    <t>* 11/03/97</t>
  </si>
  <si>
    <t>SOTWARE DE MAGIC</t>
  </si>
  <si>
    <t xml:space="preserve">2 LICENCIAS </t>
  </si>
  <si>
    <t>12/08/99</t>
  </si>
  <si>
    <t>MICROSOFT OFFICE 2000 PROFESIONAL</t>
  </si>
  <si>
    <t>MOLP GOES MICROSOF OFFICE 2000 PROF.</t>
  </si>
  <si>
    <t>MICROSOFT VISUAL FOX PRO 6,0</t>
  </si>
  <si>
    <t>23/11/2000</t>
  </si>
  <si>
    <t xml:space="preserve">WINDOWS 2000 SERVER EN ENG, </t>
  </si>
  <si>
    <t>02/12/2002</t>
  </si>
  <si>
    <t>DESARROLLADOR DE MAGIC VER. 9.30</t>
  </si>
  <si>
    <t>13/12/2004</t>
  </si>
  <si>
    <t xml:space="preserve">OFFICE 2003 PRO.WIN32 SPANISH  </t>
  </si>
  <si>
    <t>16 OFFICE 2003 PRO.WIN32 SPANISH LIC/SA PACK OLP NL LOCL GOVT PARTE # 269-05503, 1 CD DE INSTAL</t>
  </si>
  <si>
    <t>02/03/2005</t>
  </si>
  <si>
    <t>BASE DE DATOS IBM DB2 UDB 8.2</t>
  </si>
  <si>
    <t>24/09/2009</t>
  </si>
  <si>
    <t>VMWARE V13 FOUNDATION</t>
  </si>
  <si>
    <t>(1 LICENCIA)</t>
  </si>
  <si>
    <t>WINDOWS SERVER 2008</t>
  </si>
  <si>
    <t>STANDARD ( 5 LICENCIAS )</t>
  </si>
  <si>
    <t>SOFTWARE DE RESPALDO</t>
  </si>
  <si>
    <t>TIVOLI STOREGE MANAGER ( 1 )</t>
  </si>
  <si>
    <t>04/01/2010</t>
  </si>
  <si>
    <t>LICENCIA ADOBE CREATIVE SUITE 4 MASTER COLLECTION</t>
  </si>
  <si>
    <t>( 1 LICENCIA )</t>
  </si>
  <si>
    <t>MAGIC (ACTUALIZACION DE LICENCIAS)</t>
  </si>
  <si>
    <t>1 ACTUALIZACION MAGIC P/ENTERPRISE STUDIO SINGLE SEAT UNIPAAS 1.9; ($5,182.94);                               ACTUALIZACION DE MAGIC P/ENTERPRISE OPEN CLIENT DEPLOYMENT VERSION SEAT UNIPASAS 1.9 PARA 50 USUARIOS SINGLE SEAT UNIPASS 1.9; ($ 11,392.06)</t>
  </si>
  <si>
    <t>23/12/2010</t>
  </si>
  <si>
    <t>DB2 ( ACTUALIZACION DE LICENCIAS )</t>
  </si>
  <si>
    <t xml:space="preserve">1 ACTUALIZACION DE LICENCIA IBM DB2 WORKGROUP SERVER EDITION PROCESOR VALUS UNIT (PVUS) </t>
  </si>
  <si>
    <t>SUB-TOTAL</t>
  </si>
  <si>
    <t>24119001  MOBILIARIOS</t>
  </si>
  <si>
    <t>09/02/96</t>
  </si>
  <si>
    <t>ESCRITORIO EJECUTIVO</t>
  </si>
  <si>
    <t>EN CEDRO, CON ALA</t>
  </si>
  <si>
    <t>30114-09</t>
  </si>
  <si>
    <t>LIBRERA DE MADERA</t>
  </si>
  <si>
    <t xml:space="preserve"> ELABORADA EN CEDRO</t>
  </si>
  <si>
    <t>455-170</t>
  </si>
  <si>
    <t>31104-01</t>
  </si>
  <si>
    <t>25/03/96</t>
  </si>
  <si>
    <t>MUEBLE PARA APARATOS DE SONIDO</t>
  </si>
  <si>
    <t>DE MADERA, CON RODOS</t>
  </si>
  <si>
    <t>31133-01</t>
  </si>
  <si>
    <t>01/04/96</t>
  </si>
  <si>
    <t>JUEGO DE SALA</t>
  </si>
  <si>
    <t>DE 3 PIEZAS: SOFA P/3 PERSONAS,SOFA P/2 PERSONAS Y UN SILLON</t>
  </si>
  <si>
    <t>31131-01</t>
  </si>
  <si>
    <t xml:space="preserve"> 22/05/96</t>
  </si>
  <si>
    <t xml:space="preserve">LIBRERA </t>
  </si>
  <si>
    <t>DE MADERA, EN FORMA DE L</t>
  </si>
  <si>
    <t>31104-02</t>
  </si>
  <si>
    <t xml:space="preserve"> 05/12/96</t>
  </si>
  <si>
    <t>LINEA DE ORO,FTE 2.1 MTS.,ALTO 2 MT., FONDO 0.35 MTS</t>
  </si>
  <si>
    <t>31104-04</t>
  </si>
  <si>
    <t>09/02/2009</t>
  </si>
  <si>
    <t>CREDENZA</t>
  </si>
  <si>
    <t>CREDENZA MODULAR, CONSTA DE 2 MUEBLES</t>
  </si>
  <si>
    <t>31110-06</t>
  </si>
  <si>
    <t>03/12/2001</t>
  </si>
  <si>
    <t>MODULO MUEBLE COMPUTADORA Y ESCRITORIO</t>
  </si>
  <si>
    <t>CON ARCHIVO DE 2 GAVETAS INCORP.COLOR AZUL NEGRO Y AMARILLO</t>
  </si>
  <si>
    <t>31140-01</t>
  </si>
  <si>
    <t>MUEBLE DE MADERA TIPO LIBRERA</t>
  </si>
  <si>
    <t>MUEBLE DE ESCTRUCTURA DE MADERA DE CEDRO,BASE DE PLYWOOD FORRADO CON  FORMICA,RESPALDO DE FIBRAN,CINCO ENTREPAÑOS,3 PUERTAS CON BISAGRAS,HALADERAS Y CHAPA CON LLAVE.UNA PUERTA DE VIDRIO DE 5MM DE GROSOR CON CHAPA Y LLAVE MEDIDAS 1.75 METROS DE LARGO X 2.25 METROS DE ALTO Y 0.55 METROS DE ANCHO;SUJETO A PARED O PISO</t>
  </si>
  <si>
    <t>31104-07</t>
  </si>
  <si>
    <t>MUEBLE DE ESCTRUCTURA DE MADERA DE CEDRO,BASE DE PLYWOOD FORRADO CON  FORMICA,RESPALDO DE FIBRAN, 2 ENTREPAÑOS, PUERTAS CORREDIZAS CON RIELES,HALADERAS Y CHAPA CON LLAVE  MEDIDAS 3.00 METROS DE LARGO X 1.40 METROS DE ALTO Y 0.70 METROS DE ANCHO</t>
  </si>
  <si>
    <t>31104-08</t>
  </si>
  <si>
    <t>JUEGO DE MUEBLES DE SALA</t>
  </si>
  <si>
    <t>DE 3 PIEZAS,COLOR CAFÉ OSCURO MOD:IPANEMA; MARCA:BOAL</t>
  </si>
  <si>
    <t>31131-02</t>
  </si>
  <si>
    <t>24119002 MAQUINARIA Y EQUIPOS</t>
  </si>
  <si>
    <t>11/06/91</t>
  </si>
  <si>
    <t>TELEVISOR</t>
  </si>
  <si>
    <t>SONY TRINITRON KU-2027 R SERIE 8034125, 20"</t>
  </si>
  <si>
    <t>30308-01</t>
  </si>
  <si>
    <t>09/11/91</t>
  </si>
  <si>
    <t>MAQUINA DE ESCRIBIR ELECTRONICA</t>
  </si>
  <si>
    <t>CANON AP7500 SERIE BB 2310083</t>
  </si>
  <si>
    <t>30109-06</t>
  </si>
  <si>
    <t>CAJA FUERTE</t>
  </si>
  <si>
    <t>CENTINELA MODELO 507 SERIE 1208,DE HIERRO</t>
  </si>
  <si>
    <t>30118-01</t>
  </si>
  <si>
    <t>01/21/92</t>
  </si>
  <si>
    <t>VIDEO CASSETTE VHS</t>
  </si>
  <si>
    <t>SONY, MODELO SLV-X60, SERIE 29693</t>
  </si>
  <si>
    <t>30313-01</t>
  </si>
  <si>
    <t>ARMA DE FUEGO</t>
  </si>
  <si>
    <t>PISTOLA SMITH &amp; WESSON 357 MAGNUN SPRINFIELD MASS,MOD 356-3</t>
  </si>
  <si>
    <t>31301-02</t>
  </si>
  <si>
    <t>11/10/95</t>
  </si>
  <si>
    <t>CD PIOONER, RADIO PIOONER, CONSOLA PEAVEY,DOBLE CASETERA</t>
  </si>
  <si>
    <t>30319-01</t>
  </si>
  <si>
    <t>07/05/2001</t>
  </si>
  <si>
    <t>PROTECTORA DE CHEQUES</t>
  </si>
  <si>
    <t>M/UCHIDA,MODELO P-15 MULTIMONEDA,SERIE P15230103129</t>
  </si>
  <si>
    <t>30110-02</t>
  </si>
  <si>
    <t>25/02/2003</t>
  </si>
  <si>
    <t>TEMPSTAR, TIPO MINI SPLIT,3.0 TONELADAS,SERIE COMPRESOR CKL 36-1F</t>
  </si>
  <si>
    <t>30301-21</t>
  </si>
  <si>
    <t>13/05/2003</t>
  </si>
  <si>
    <t>TEMPSTAR, TIPO MINI SPLIT, 18,000 BTU, CONTROL REMOTO</t>
  </si>
  <si>
    <t>30301-22</t>
  </si>
  <si>
    <t>09/03/2006</t>
  </si>
  <si>
    <t>MESA DE CONFERENCIA</t>
  </si>
  <si>
    <t>PARA 6 PERSONAS,COLOR CHERRY,MADERA LAMINADA, FORMA OVALADA</t>
  </si>
  <si>
    <t>31107-03</t>
  </si>
  <si>
    <t>24/05/2006</t>
  </si>
  <si>
    <t xml:space="preserve">MESA DE REUNIONES MODULAR </t>
  </si>
  <si>
    <t>EN CHAPA DE MADERA FINA BARNIZADA, 4 MODULOS RECTOS Y 1 SEMI CIRCULAR</t>
  </si>
  <si>
    <t>31107-04</t>
  </si>
  <si>
    <t>19/07/2006</t>
  </si>
  <si>
    <t>PROYECTOR DE CAÑON</t>
  </si>
  <si>
    <t>MARCA DELL MODELO 2400MP,SERIE DTW4081</t>
  </si>
  <si>
    <t>30324-02</t>
  </si>
  <si>
    <t>24/08/2007</t>
  </si>
  <si>
    <t>MARCA CARRIER,DE 60000 BTU,EVAPORADOR  MOD 42XQ-060M-30125,SERIE MFUO 7121714,CONDENSADOR MOD.38 CKS 060-X-5,SERIE 2407X82093</t>
  </si>
  <si>
    <t>30301-25</t>
  </si>
  <si>
    <t>MARCA CARRIER,DE 60000 BTU,EVAPORADOR  MOD 42XQ-060M-30125,SERIE MFUO 7121653,CONDENSADOR MOD.38 CKS 060-X-5,SERIE 2407X82077</t>
  </si>
  <si>
    <t>30301-26</t>
  </si>
  <si>
    <t>MARCA CARRIER,DE 60000 BTU,EVAPORADOR  MOD 42XQ-060M-30125,SERIE MFUO 7121677,CONDENSADOR MOD.38 CKS 060-X-5,SERIE 2407X82026</t>
  </si>
  <si>
    <t>30301.-27</t>
  </si>
  <si>
    <t>MARCA CARRIER,DE 60000 BTU,EVAPORADOR  MOD 42XQ-060M-30125,SERIE MFUO 7162951,CONDENSADOR MOD.38 CKS 060-X-5,SERIE 2407X82067</t>
  </si>
  <si>
    <t>455-172</t>
  </si>
  <si>
    <t>30301-28</t>
  </si>
  <si>
    <t>MARCA CARRIER,DE 60000 BTU,EVAPORADOR  MOD 42XQ-060M-30125,SERIE MFUO 7162907,CONDENSADOR MOD.38 CKC036-X-5,SERIE 2407X82114</t>
  </si>
  <si>
    <t>30301-29</t>
  </si>
  <si>
    <t>MARCA CARRIER,DE 60000 BTU,EVAPORADOR  MOD 42XQ-060M-30125,SERIE MFUO 7101766,CONDENSADOR MOD.38 CKC036-X-5,SERIE 4106X77379</t>
  </si>
  <si>
    <t>30301-30</t>
  </si>
  <si>
    <t>01/11/2008</t>
  </si>
  <si>
    <t>MARCA MILLER,DE 60,000 BTU,EVAPORADOR MODELO NUMBER NFX7060SW2,SERIAL, NUMBER EBU5100891;CONDENSADOR MODELO NUMBER JS4BD-060CA,SERIE JSA080800224</t>
  </si>
  <si>
    <t>30301-31</t>
  </si>
  <si>
    <t>MARCA MILLER,DE 60,000 BTU,EVAPORADOR MODELO NUMBER NFX7060SW2,SERIAL, NUMBER EBU5101394;CONDENSADOR MODELO NUMBER JS4BD-060CA,SERIE JSA080703811</t>
  </si>
  <si>
    <t>455-183</t>
  </si>
  <si>
    <t>30301-32</t>
  </si>
  <si>
    <t>MARCA MILLER,DE 48,000 BTU,EVAPORADOR MODELO NUMBER NFX7048SVW2,SERIAL, NUMBER ECU5101635;CONDENSADOR MODELO NUMBER JS4BD-048CA,SERIE JSA080800407</t>
  </si>
  <si>
    <t>30301-33</t>
  </si>
  <si>
    <t>MARCA MILLER,DE 60,000 BTU,EVAPORADOR MODELO NUMBER NFX7060SVW2,SERIAL, NUMBER EBU5100911;CONDENSADOR MODELO NUMBER JS4BD-060CA,SERIE JSA080800221</t>
  </si>
  <si>
    <t>30301-34</t>
  </si>
  <si>
    <t>MARCA MILLER,DE 36,000 BTU,EVAPORADOR MODELO NUMBER NFX7036SVW2,SERIAL, NUMBER EBU5010269;CONDENSADOR MODELO NUMBER JS4BD-036CA,SERIE JSA080702963</t>
  </si>
  <si>
    <t>30301-35</t>
  </si>
  <si>
    <t>MARCA MILLER,DE 60,000 BTU,EVAPORADOR MODELO NUMBER NFX7060SVW2,SERIAL, NUMBER EBU5101378;CONDENSADOR MODELO NUMBER JS4BD-060CA,SERIE JSA080800222</t>
  </si>
  <si>
    <t>15/10/2009</t>
  </si>
  <si>
    <t>MARCA WESTINGHOUSE, TIPO CASSETTE DE 48,000 BTU, MODELO CONDESADOR JS4BD-048CA;MODELO EVAPORADOR WICXF-48KVW2.SERIE DE CONDESADOR Nº JSA090706799,SERIE  EVAPORADOR Nº WIGO90800311</t>
  </si>
  <si>
    <t>30301-37</t>
  </si>
  <si>
    <t>MARCA WESTINGHOUSE, TIPO CASSETTE DE 48,000 BTU, MODELO CONDESADOR JS4BD-048CA;MODELO EVAPORADOR WICXF-48KVW2.SERIE DE CONDESADOR Nº JSA090704479,SERIE  EVAPORADOR Nº WIGO90800309</t>
  </si>
  <si>
    <t>30301-38</t>
  </si>
  <si>
    <t>MARCA WESTINGHOUSE,TIPO CASSETTE DE 48,000 BTU, MODELO CONDENSADOR JS4BD-048CA;MODELO EVAPORADOR WICXD-48KVW2.SERIE DE CONDESADOR NºJSA090800233,SERIE EVAPORADOR NºWIGO90800310</t>
  </si>
  <si>
    <t>30301-39</t>
  </si>
  <si>
    <t>MARCA LENNOX - TIPO SPLIT-DUCTO DE 5 TONELADAS CONDENSADOR:MODELO TSA060S43Y, SERIE 5810G14701;EVAPORAODR:MODELO CBX26UH-060-230-2,SERIE 6010J16886.</t>
  </si>
  <si>
    <t>30301-40</t>
  </si>
  <si>
    <t>MARCA LENNOX - TIPO SPLIT-DUCTO DE 5 TONELADAS CONDENSADOR:MODELO TSA060S43Y, SERIE 5810G14698;EVAPORAODR:MODELO CBX26UH-060-230-2,SERIE 6010J16899.</t>
  </si>
  <si>
    <t>30301-41</t>
  </si>
  <si>
    <t>PLASMA</t>
  </si>
  <si>
    <t>SONY C1,CLD, MODELO:KDL 40BX420,SERIE Nº5302631</t>
  </si>
  <si>
    <t>30308-05</t>
  </si>
  <si>
    <t>SONY C1,CLD, MODELO:KDL 40BX420,SERIE Nº 5303725</t>
  </si>
  <si>
    <t>30308-06</t>
  </si>
  <si>
    <t>MARCA GENERAL ELECTRIC, MOD.GSMT2LEBFGP;FRIO SECO, 2 PUERTAS</t>
  </si>
  <si>
    <t>30310-04</t>
  </si>
  <si>
    <t>PLANTA TELEFONICA</t>
  </si>
  <si>
    <t xml:space="preserve">INCLUYE 2 TARJETAS P/SERVICIOS DE E1, 4 TK ANALOGAS, 8 EXTS,DIGITALES, 60 EXTS, ANALOGAS, 20 USARIOS IP, 1 TELEFONO DIGITAL ALCATEL-LUCENT 4029, 3 TLEONOS DIGITALES 4019, 15 TELEFONOS IP TOUCH 4018, 23 TELEFONOS SENC 1 LLOS TC50, OPERADORA AUTOMATICA ESTANDAR DE 2 ACCESOS SIMULTANEOS, 1 GUARNICION PLANTRONICS S12, 1 TARIFICADOR SOFTWARE TELEFAX PARA 85 EXTS, 1 BATEIA PARA 4 HORAS, 75 LICENCIAS SOFTPHONE PIMPHONY PC TELEFONIA LICENCIAS Y SOFTWARE </t>
  </si>
  <si>
    <t>35301-02</t>
  </si>
  <si>
    <t>MARCA PANASONIC;TIPO PARED; CAPACIDAD: 18,000BTU/HR ; MODELO : CS-PS18MKQ ; REFRIGERANTE R 410A, EFICIENCIA SERR 13</t>
  </si>
  <si>
    <t>30301-53</t>
  </si>
  <si>
    <t>MARCA PANASONIC;TIPO PARED; CAPACIDAD: 18,000BTU/HR ; MODELO : CS-PS18MKQ ; REFRIGERANTE R 410A, EFICIENCIA SERR 13. No. DE SERIE 2441205236.</t>
  </si>
  <si>
    <t>30301-54</t>
  </si>
  <si>
    <t>BANDA AEROBICA</t>
  </si>
  <si>
    <t>MARCA- PRO FORM, MODELO  PFTL8190, 10 NIVELES DE VELOCIDAD  Y 10 GRADOS DE INCLINACIÓN, DOS PORTA OBJETOS, VOLTAJE 110 WATTS, MOTOR2.5 HP.</t>
  </si>
  <si>
    <t>30329-01</t>
  </si>
  <si>
    <t>MARCA 1FRIGIDAIRE , MODELO FFTR1814LM, CONGELADOR SECO SUPERIOR, COLOR BLANCO DE 18 PIES CÚBICOS , DOS PUERTAS, DOS GAVETAS .</t>
  </si>
  <si>
    <t>30310-05</t>
  </si>
  <si>
    <t>MARCA LENNOX; CAPACIDAD: UNO PUNTO CINCO TONELADAS, MINI SPLIT MONOFASICO; MODELO CONDENSADOR: LXG AHTC118130P4; MODELO EVAPORADOR: LXG AHTC018130P4; SERIE CONDENSADOR: 1233500C2200155; SERIE EVAPORADOR: 123350019300C2200105, EFICIENCIA 410A 13.0.</t>
  </si>
  <si>
    <t>30301-42</t>
  </si>
  <si>
    <t>MARCA LENNOX; CAPACIDAD: UNO PUNTO CINCO TONELADAS, MINI SPLIT MONOFASICO; MODELO CONDENSADOR: LXG AHTC118130P4; MODELO EVAPORADOR: LXG AHTC018130P4; SERIE CONDENSADOR: 12350054900C8080012; SERIE EVAPORADOR: 123350055000C8090004, EFICIENCIA 410A 13.0.</t>
  </si>
  <si>
    <t>30301-43</t>
  </si>
  <si>
    <t>MARCA LENNOX; CAPACIDAD: UNO PUNTO CINCO TONELADAS, MINI SPLIT MONOFASICO; MODELO CONDENSADOR: LXG AHTC118130P4; MODELO EVAPORADOR: LXG AHTC018130P4;  EFICIENCIA 410A 13.0.</t>
  </si>
  <si>
    <t>455-191</t>
  </si>
  <si>
    <t>30301-44</t>
  </si>
  <si>
    <t>MARCA LENNOX; CAPACIDAD:  CINCO TONELADAS, CENTRAL,TRIFÁSICO; MODELO CONDENSADOR: TSA060S4; MODELO EVAPORADOR: CBX26UH-60;  EFICIENCIA 410A 13.0.</t>
  </si>
  <si>
    <t>30301-45</t>
  </si>
  <si>
    <t>30301-46</t>
  </si>
  <si>
    <t>MARCA LENNOX; CAPACIDAD: UNO PUNTO CINCO TONELADAS, MINI SPLIT MONOFASICO; MODELO CONDENSADOR: LXG SCTCO18130P4; MODELO EVAPORADOR: LXG AHTC018130P4; EFICIENCIA 410A 13.0.</t>
  </si>
  <si>
    <t>30301-47</t>
  </si>
  <si>
    <t>30301-48</t>
  </si>
  <si>
    <t>30301-49</t>
  </si>
  <si>
    <t>MARCA LENNOX; CAPACIDAD:  CUATRO TONELADAS, CENTRAL,MONOFÁSICO MODELO CONDENSADOR: 13ACX-048; MODELO EVAPORADOR: LXGUCGRO48100U2; EFICIENCIA 410A 13.0.</t>
  </si>
  <si>
    <t>30301-50</t>
  </si>
  <si>
    <t>MARCA LENNOX; CAPACIDAD:  CUATRO TONELADAS, CENTRAL,MONOFÁSICO MODELO CONDENSADOR: 13ACX-048; MODELO EVAPORADOR: LXGUCGRO48100U2; SERIE CONDENSADOR: 1912J12849; SERIE EVAPORADOR: C9266220000064, EFICIENCIA 410A 13.0.</t>
  </si>
  <si>
    <t>30301-51</t>
  </si>
  <si>
    <t>MARCA LENNOX; CAPACIDAD:  CUATRO TONELADAS, CENTRAL,MONOFÁSICO MODELO CONDENSADOR: 13ACX-048; MODELO EVAPORADOR: LXGUCGRO48100U2;EFICIENCIA 410A 13.0.</t>
  </si>
  <si>
    <t>30301-52</t>
  </si>
  <si>
    <t>MESA DE REUNIONES</t>
  </si>
  <si>
    <t xml:space="preserve">MUEBLE DE MADERA CON CAPACIDAD PARA 18 PERSONAS, EL MUEBLE CUENTA CON UN ÁREA DE 6.50 METROS DE LARGO Y 2.20 METROS DE ANCHO, CADA MESA CUENTA CON 0.75 METROS DE PROFUNDIDAD, TIENE AL CENTRO ABERTURA DE 0.70 METROS , CUENTA CON OCHO MODULOS: SEIS DE 1.66 METROS X 0.75 METROS,  Y DOS DE 2.20 METROS X 0.75 METROS. </t>
  </si>
  <si>
    <t>31107-05</t>
  </si>
  <si>
    <t>RACK  PARA SERVER</t>
  </si>
  <si>
    <t>RACK PARA SERVER, MARCA NEW LINK; MODELO:  NEW-09785014</t>
  </si>
  <si>
    <t>31141-02</t>
  </si>
  <si>
    <t>24119004 EQUIPOS INFORMATICOS</t>
  </si>
  <si>
    <t xml:space="preserve"> 23/12/98</t>
  </si>
  <si>
    <t>ESCRITOR DE DISCO COMPACTO, (CD WRITTER</t>
  </si>
  <si>
    <t>HEWLETT PACKARD,MODELO SURESTORE 7200E, SERIE HU8333Q5358MX62400168</t>
  </si>
  <si>
    <t>30138-01</t>
  </si>
  <si>
    <t>14/03/2003</t>
  </si>
  <si>
    <t>SWITCH - EQUIPO DE COMUNICACIÓN</t>
  </si>
  <si>
    <t>MARCA HEWLETT PACKARD MOD2724,DE 24 PUERTOS DE 10/100/1000MBPS,RJ45,S/J4897A</t>
  </si>
  <si>
    <t>30203-01</t>
  </si>
  <si>
    <t>MARCA HEWLETT PACKARD MOD:2724.DE 24 PUERTOS DE 10/100/1000MBPS,RJ45,S/J4897A</t>
  </si>
  <si>
    <t>30203-02</t>
  </si>
  <si>
    <t>05/05/2003</t>
  </si>
  <si>
    <t>COMPUTADORA - ESTACION DE TRABAJO</t>
  </si>
  <si>
    <t>MARCA DELL, MODELO OPTIPLEX GX260, NEGRA,CPU:6Z80K21</t>
  </si>
  <si>
    <t>30201-47</t>
  </si>
  <si>
    <t>MARCA DELL, MODELO OPTIPLEX GX260, NEGRA,CPU:NY80K21</t>
  </si>
  <si>
    <t>30201-48</t>
  </si>
  <si>
    <t>MARCA DELL, MODELO  OPTIPLEX GX260,NEGRA,CPU:AZ80K21</t>
  </si>
  <si>
    <t>30201-49</t>
  </si>
  <si>
    <t>MARCA DELL, MODELO OPTIPLEX GX260, NEGRA,CPU:2Y80K21</t>
  </si>
  <si>
    <t>455-181*150</t>
  </si>
  <si>
    <t>30201-50</t>
  </si>
  <si>
    <t>MARCA DELL, MODELO OPTIPLEX GX260, NEGRA,CPU:JY80K21</t>
  </si>
  <si>
    <t>455-184*150</t>
  </si>
  <si>
    <t>30201-51</t>
  </si>
  <si>
    <t>MARCA DELL, MODELO OPTIPLEX GX260, NEGRA,CPU:DX80K21</t>
  </si>
  <si>
    <t>30201-52</t>
  </si>
  <si>
    <t>MARCA DELL, MODELO OPTIPLEX GX260, NEGRA,CPU:HX80K21; MON.SERIE: CN-095WUP-46633-2B45798; TEC. SERIE: TH-07N124-37171-2CC-1775.</t>
  </si>
  <si>
    <t>30201-53</t>
  </si>
  <si>
    <t>MARCA DELL, MODELO OPTIPLEX GX260, NEGRA,CPU:FX80K21</t>
  </si>
  <si>
    <t>455-161*150</t>
  </si>
  <si>
    <t>30201-54</t>
  </si>
  <si>
    <t>30201-55</t>
  </si>
  <si>
    <t>455-172*150</t>
  </si>
  <si>
    <t>30201-56</t>
  </si>
  <si>
    <t>MARCA DELL, MODELO OPTIPLEX GX260, NEGRA,CPU:1280K21</t>
  </si>
  <si>
    <t>30201-57</t>
  </si>
  <si>
    <t>MARCA DELL, MODELO OPTIPLEX GX260, NEGRA,CPU:8X80K21</t>
  </si>
  <si>
    <t>30201-58</t>
  </si>
  <si>
    <t>30/10/2003</t>
  </si>
  <si>
    <t xml:space="preserve">COMPUTADORA - SERVIDOR      </t>
  </si>
  <si>
    <t>MARCA IBM, MODELO X SERIES 235</t>
  </si>
  <si>
    <t>30201-59</t>
  </si>
  <si>
    <t>13/07/2004</t>
  </si>
  <si>
    <t>IMPRESOR LASER</t>
  </si>
  <si>
    <t>MARCA HEWLETT PACKARD MODELO:LASERJET 4650 n (NETWORK)</t>
  </si>
  <si>
    <t>30124-48</t>
  </si>
  <si>
    <t>28/07/2004</t>
  </si>
  <si>
    <t>COMPUTADORA-ESTACION DE TRABAJO</t>
  </si>
  <si>
    <t>MARCA DELL,MODELO  OPTPLEX GX280 TORRE,CPU S/0045-508-682-469,Gtia. 3 años</t>
  </si>
  <si>
    <t>30201-60</t>
  </si>
  <si>
    <t>04/11/2004</t>
  </si>
  <si>
    <t>SONIC WALL TZ 170 UNRESTRICTED NODE</t>
  </si>
  <si>
    <t>MARCA  SONIC WALL TZ 170  UNRESTRICTED</t>
  </si>
  <si>
    <t>30204-01</t>
  </si>
  <si>
    <t>10/12/2004</t>
  </si>
  <si>
    <t>UPS</t>
  </si>
  <si>
    <t>MARCA APC  SMART - UPS 3000 V a 120 V, SERIIE Nº YS0413110573</t>
  </si>
  <si>
    <t>30122-71</t>
  </si>
  <si>
    <t>COMPUTADORA PERSONAL</t>
  </si>
  <si>
    <t>MARCA DELL MODELO OPTIPLEX GX280 S/B7V8361</t>
  </si>
  <si>
    <t>30201-63</t>
  </si>
  <si>
    <t>MARCA DELL MODELO OPTIPLEX GX280, S/88V8361</t>
  </si>
  <si>
    <t>30201-64</t>
  </si>
  <si>
    <t>MARCA DELL MODELO OPTIPLEX GX280 S/B8V8361</t>
  </si>
  <si>
    <t>30201-66</t>
  </si>
  <si>
    <t>MARCA DELL MODELO OPTIPLEX GX280, S/67V8361</t>
  </si>
  <si>
    <t>30201-61</t>
  </si>
  <si>
    <t>MARCA DELL MODELO OPTIPLEX GX280, S/28Y8361</t>
  </si>
  <si>
    <t>30201-62</t>
  </si>
  <si>
    <t>MARCA DELL MODELO OPTIPLEX GX280, S/F7V8361</t>
  </si>
  <si>
    <t>30201-67</t>
  </si>
  <si>
    <t>MARCA DELL MODELO OPTIPLEX GX280, S/18V8361</t>
  </si>
  <si>
    <t>30201-68</t>
  </si>
  <si>
    <t>MARCA DELL MODELO OPTIPLEX GX280, S/78V8361</t>
  </si>
  <si>
    <t>30201-69</t>
  </si>
  <si>
    <t>MARCA DELL MODELO OPTIPLEX GX280, S/48V8361</t>
  </si>
  <si>
    <t>455-182*150</t>
  </si>
  <si>
    <t>30201-65</t>
  </si>
  <si>
    <t>21/10/2005</t>
  </si>
  <si>
    <t>MARCA DELL OPTIPLEX GX280,MONITOR PANTALLA PLANA DE 15";SERIE 5V8T971</t>
  </si>
  <si>
    <t>30201-70</t>
  </si>
  <si>
    <t>LAPTOP MARCA DELL MOD.LATITUDE D410 SERIE S/ BB963B1</t>
  </si>
  <si>
    <t>30202-07</t>
  </si>
  <si>
    <t>LAPTOP MARCA DELL MOD.LATITUDE D410 SERIE S/2B963B1</t>
  </si>
  <si>
    <t>30202-06</t>
  </si>
  <si>
    <t>COMPUTADORA  - ESTACION DE TRABAJO</t>
  </si>
  <si>
    <t>WORKSTATION MARCA DELL,MOD.PRECISION 380,SERIE 3X223B1</t>
  </si>
  <si>
    <t>30201-71</t>
  </si>
  <si>
    <t>MARCA DELL,MODELO  OPTIPLEX GX 520 SERIE HM333B1</t>
  </si>
  <si>
    <t>30201-72</t>
  </si>
  <si>
    <t>MARCA DELL,MODELO OPTIPLEX GX 520,SERIE 2N333BJ</t>
  </si>
  <si>
    <t>30201-73</t>
  </si>
  <si>
    <t>MARCA DELL,MODELO OPTIPLEX GX 520,SERIE 3N333BJ</t>
  </si>
  <si>
    <t>30201-74</t>
  </si>
  <si>
    <t>PC'S DELL OPTIPLEX GX520 SERIE CPU- 5N333B1; MON. CN-OCC280-71618-644-ADW9;TEC CN-OW7646-37172-617-03Z3</t>
  </si>
  <si>
    <t>30201-75</t>
  </si>
  <si>
    <t>MARCA DELL,MODELO OPTIPLEX GX 520, SERIE 6N333BJ</t>
  </si>
  <si>
    <t>30201-76</t>
  </si>
  <si>
    <t>PC'S DELL  OPTIPLEX GX 520,SERIE CN333BJ;MON.CN-OCC280-71618-644-ADVF;CN-OW7382-71616-634-0H8Q</t>
  </si>
  <si>
    <t>30201-77</t>
  </si>
  <si>
    <t>MARCA DELL MODELO OPTIPLEX GX 520, SERIE DN333B1</t>
  </si>
  <si>
    <t>30201-78</t>
  </si>
  <si>
    <t>10/01/2007</t>
  </si>
  <si>
    <t>IMPRESOR MATRICIAL</t>
  </si>
  <si>
    <t>MARCA EPSON DFX 9000, SERIE GKKOOO4986</t>
  </si>
  <si>
    <t>30124-66</t>
  </si>
  <si>
    <t>05/02/2007</t>
  </si>
  <si>
    <t>IMPRESOR LASER A COLOR</t>
  </si>
  <si>
    <t>MARCA HP 4700DTN, SERIE HP-5PTLC 23971</t>
  </si>
  <si>
    <t>30124-67</t>
  </si>
  <si>
    <t>19/11/2007</t>
  </si>
  <si>
    <t>TAPE BACKUP ESTERNO DE 2 DRIVER-R</t>
  </si>
  <si>
    <t>MARCA DELL MODELO POWER VAULT 114T,PV114Y,2U DLT VS160 TAPE RACK</t>
  </si>
  <si>
    <t>30126-04</t>
  </si>
  <si>
    <t>26/05/2008</t>
  </si>
  <si>
    <t>MARCA WATCHGUARD X 550C BUNDLED,FIREWARE PRO/20 LICENCIAS DE MUVPN</t>
  </si>
  <si>
    <t>30203-07</t>
  </si>
  <si>
    <t>04/06/2008</t>
  </si>
  <si>
    <t>PC'S DELL OPTIPLEX 330,MINITCAVER PENTIUM DUAL COPE , CPU  SERIE:GWGB4G1; MONITOR SERIE:  CN-ORY9797426183BOUWU;TECLADO SERIE: CN-ODJ375-71616-7C1-11YS.</t>
  </si>
  <si>
    <t>30201-79</t>
  </si>
  <si>
    <t>PC'S DELL OPTIPLEX 330,MINITCAVER PENTIUM DUAL COPE ,  CPU S/N : JVGB4G1; MONITOR N/S CN-ORY9797426183BOYNU, CUENTA CON MONITOR NUEVO CON SERIE: CN-C116Q6Z4;TEC. CN-ODJ375-71616-7C1-10S8.</t>
  </si>
  <si>
    <t>30201-80</t>
  </si>
  <si>
    <t>PC'S DELL OPTIPLEX 330,MINITCAVER PENTIUM DUAL COPE ,   S/N CPU DWGB4G1; MONITOR N/S CN-ORY9797426183BOYHU; TEC. CN-ODJJ415-71616-72Q-0D25.</t>
  </si>
  <si>
    <t>30201-81</t>
  </si>
  <si>
    <t>PC'S DELL OPTIPLEX 330,MINITCAVER PENTIUM DUAL COPE , S/N CPU 7XGB4G1; MONITOR N/SERIE: CN-ORY9797426183B10FU;TEC.CN-ODJ375-71616-7C1-11F2.</t>
  </si>
  <si>
    <t>30201-82</t>
  </si>
  <si>
    <t>PC`S DELL OPTIPLEX 330,MINITCAVER PENTIUM DUAL COPE,S/N CPU JWGB4G1;MONITOR N/S CNORY9797426183B10MU;TEC.CN-ODJ375-71616-7C1-1061</t>
  </si>
  <si>
    <t>30201-83</t>
  </si>
  <si>
    <t>PC'S DELL OPTIPLEX 330,MINITCAVER PENTIUM DUAL COPE , S/N CPU BVGB4G1; MONITOR N/SERIE: CN-ORY9797426183B10GU; TEC. SERIE: CN-ODJ375-71616-7C1-10SA.</t>
  </si>
  <si>
    <t>30201-84</t>
  </si>
  <si>
    <t>PC`S DELL OPTIPLEX 330,MINITCAVER PENTIUM DUAL COPE,S/N CPU CSGB4G1;MONITOR N/S CNORY9797426183B107U;TEC.CN-ODJ375-71616-7C1-105W</t>
  </si>
  <si>
    <t>30201-85</t>
  </si>
  <si>
    <t>PC`S DELL OPTIPLEX 330,MINITCAVER PENTIUM DUAL COPE,S/N CPU 2WGB4G1;MONITOR N/S CNORY 9797426183A6R7U;TEC.CN-ODJ375-71616-7C1-108D</t>
  </si>
  <si>
    <t>30201-86</t>
  </si>
  <si>
    <t>PC'S DELL OPTIPLEX 330,MINITCAVER PENTIUM DUAL COPE ,  S/N CPU 9WGB4G1; MONITOR N/SERIE: CN-ORY9797426183BOU1U;TEC.SERIE: CN-ODJ375-71616-7C1-11F2. CUENTA ACTUALMENTE CON MONITOR PRESTADO DE INFORMATICA  CON SERIE No. CN-CNCG116Q75M ( MONITOR COMPRADO EN EL AÑO 2012). CÒDIGO DE MONITOR  No. 455-161-30201-61</t>
  </si>
  <si>
    <t>30201-87</t>
  </si>
  <si>
    <t>PC'S DELL OPTIPLEX 330,MINITCAVER PENTIUM DUAL COPE ,  CPU SERIE:  3XGB4G1; MONITOR N/SERIE:  CN-ORY979-74261-83B-OYFU;TEC.CN-ODJ375-71616-7C1-105Y</t>
  </si>
  <si>
    <t>30201-88</t>
  </si>
  <si>
    <t>PC'S DELL OPTIPLEX 330,MINITCAVER PENTIUM DUAL COPE , S/N CPU FVGB4G1; MONITOR N/SERIE:  CN-ORY9797426183B0YGU; TEC.SERIE:CN-ODJ375-71616-7C1-108M</t>
  </si>
  <si>
    <t>455-190</t>
  </si>
  <si>
    <t>30201-89</t>
  </si>
  <si>
    <t>PC'S DELL OPTIPLEX 330,MINITCAVER PENTIUM DUAL COPE ,  CPU SERIE: 4XGB4G1; MONITOR N/SERIE:  CN-ORY9797426183BOYMU; TEC.CN-ODJ375-71616-7C1-10H4.</t>
  </si>
  <si>
    <t>30201-90</t>
  </si>
  <si>
    <t>PC'S DELL OPTIPLEX 330,MINITCAVER PENTIUM DUAL COPE ,  CPU  SERIE:BXGB4G1; MONITOR N/SERIE: CN-ORY979-74261-83B-OYJU;TEC CN-ODJ375-71616-7C1-10H4</t>
  </si>
  <si>
    <t>30201-91</t>
  </si>
  <si>
    <t>PC'S DELL OPTIPLEX 330,MINITCAVER PENTIUM DUAL COPE ,  CPU SERIE: 5WGB4G1; MONITOR N/SERIE:  CN-DRY979-74261-83B-1RTU,  TEC-CN-ODJ375-71616-7C1-105I</t>
  </si>
  <si>
    <t>30201-92</t>
  </si>
  <si>
    <t>PC'S DELL OPTIPLEX 330,MINITCAVER PENTIUM DUAL COPE , S/N CPU 7WGB4G1,MONITOR N/SERIE: CN-ORY9797426183B10LU;TEC.SERIE: CN-ODJ375-71616-7C1-11YR</t>
  </si>
  <si>
    <t>455-185</t>
  </si>
  <si>
    <t>30201-93</t>
  </si>
  <si>
    <t>28/10/2008</t>
  </si>
  <si>
    <t>KIT DE MEMORIA 4 GB (2X2 GB)</t>
  </si>
  <si>
    <t>MARCA KINGSTON 8KTM3037/AG IBM ESERV DIMM KIT XSERIES 235,235,345 HS20</t>
  </si>
  <si>
    <t>28/07/2009</t>
  </si>
  <si>
    <t>PC`S,MARCA HEWLETT PACKARD,WORK STATION,CPU HP XW4600 SERIE 2UA9171608;MONITOR HP L1710,SERIE 3CQ9102Q2Z;TECLADO HP SERIE BC3370GVBWTFUV</t>
  </si>
  <si>
    <t>30201-94</t>
  </si>
  <si>
    <t>PC`S,MARCA HEWLETT PACKARD,WORK STATION,CPU HP XW4600 SERIE 2UA917160Y;MONITOR HP L1710,SERIE 3CQ9102Q3H;TECLADO HP SERIE BC3370GVBWTF04</t>
  </si>
  <si>
    <t>30201-95</t>
  </si>
  <si>
    <t>COMPUTADORA - SERVIDOR</t>
  </si>
  <si>
    <t>SERVIDOR MARCA IBM:CPU MODELO B9U,SERIE KQMVPGR;RAK MOD.4RX,SERIE 23X6165;UPS;MODELO 3000BSA,SERIE GSM33000MJR31;MONITOR MOD.3RX,SERIE 23BD481</t>
  </si>
  <si>
    <t>30201-96</t>
  </si>
  <si>
    <t>30/09/2009</t>
  </si>
  <si>
    <t>SWITCH - EQUIPO DE 24 PUERTOS</t>
  </si>
  <si>
    <t>MARCA NORTEL, ROUTER NORTEL,MODELO: 4526GTX,SERIE LBNNTMJL2301FJ</t>
  </si>
  <si>
    <t>30203-23</t>
  </si>
  <si>
    <t>MARCA HP,MODELO DC 7900,SERIE MXJ9070BFJ;MONITOR MARCA HP, MODELO L1750,SERIE 3CQ9161THD; TECLADO SERIE BC3370GVBWTOVO</t>
  </si>
  <si>
    <t>30201-97</t>
  </si>
  <si>
    <t>MARCA HP,MODELO DC 7900,SERIE MXJ9070BG7;MONITOR MARCA HP,MODELO L1750,SERIE 3CQ9161THX;TECLADO SERIE BC3370GVBWTOTP</t>
  </si>
  <si>
    <t>30201-98</t>
  </si>
  <si>
    <t>MARCA HP,MODELO DC 7900,SERIE MXJ9070BFT;MONITOR MARCA HP,MODELO L1750,SERIE 3CQ9161TJT;TECLADO SERIE BC3370GVBWT0U2</t>
  </si>
  <si>
    <t>30201-99</t>
  </si>
  <si>
    <t>MARCA HP,MODELO DC 7900,SERIE MXJ9070BG8;MONITOR MARCA HP,MODELO L1750,SERIE 3CQ9161T07;TECLADO SERIE BC3370GVBWT0NO</t>
  </si>
  <si>
    <t>30201-100</t>
  </si>
  <si>
    <t>MARCA HP,MODELO DC 7900,SERIE MXJ9070BGL;MONITOR MARCA HP,MODELO L1750;SERIE 3CQ9161THN;TECLADO SERIE BC3370GVBWT0TR</t>
  </si>
  <si>
    <t>30201-101</t>
  </si>
  <si>
    <t xml:space="preserve">IMPRESOR </t>
  </si>
  <si>
    <t>MARCA EPSON FX 2190,MODELO FX-2190,SERIE FCTY135146</t>
  </si>
  <si>
    <t>30124-73</t>
  </si>
  <si>
    <t>IMPRESOR</t>
  </si>
  <si>
    <t>MARCA EPSON FX 2190,MODELO FX-2190,SERIE FCTY135148</t>
  </si>
  <si>
    <t>30124-74</t>
  </si>
  <si>
    <t>MARCA EPSON FX 2190,MODELO FX-2190 SERIE FCTY135151</t>
  </si>
  <si>
    <t>30124-75</t>
  </si>
  <si>
    <t>MARCA EPSON FX 2190,MODELO FX-2190,SERIE FCTY133399</t>
  </si>
  <si>
    <t>30124-76</t>
  </si>
  <si>
    <t>MARCA EPSON FX 2190,MODELO FX-2190,SERIE FCTY135150</t>
  </si>
  <si>
    <t>30124-77</t>
  </si>
  <si>
    <t>18/05/2010</t>
  </si>
  <si>
    <t>ESCANER</t>
  </si>
  <si>
    <t>ESCANER PLANO DE DOCUMENTOS CON TARJETA DE RED MARCA HP MODELO N6350</t>
  </si>
  <si>
    <t>30132-03</t>
  </si>
  <si>
    <t>22/12/2010</t>
  </si>
  <si>
    <t>SWITCH - MARCA 3 COM</t>
  </si>
  <si>
    <t>MARCA 3COM, MODELO 4210G, 24 PORTS,CPA2,CAPA3:CANTIDAD DE PUERTOS:ETHERNET 10 BASE T,ETHERNET,100 BASETX,ETHERNET, 1000 BASE T, SLOTS DISPONIBLES 8.8 GBPS SWITCHING.CAPACITY (MAXIMIUN), 65.5 MPPS FORWARDING RATE (MAXIMUN), VLA NS 256 PORT -BASED VLANS (EEE 802.1Q).</t>
  </si>
  <si>
    <t>30203-25</t>
  </si>
  <si>
    <t>MARCA 3COM, MODELO 4210G,  SERIE Nº210235AOFOH106000204,24 PORTS,CPA2,CAPA3:CANTIDAD DE PUERTOS:ETHERNET 10 BASE T,ETHERNET,100 BASETX,ETHERNET, 1000 BASE T, SLOTS DISPONIBLES 8.8 GBPS SWITCHING.CAPACITY (MAXIMIUN), 65.5 MPPS FORWARDING RATE (MAXIMUN), VLA NS 256 PORT -BASED VLANS (EEE 802.1Q).</t>
  </si>
  <si>
    <t>30203-24</t>
  </si>
  <si>
    <t>11/05/2011</t>
  </si>
  <si>
    <t>CPU:MOD.HR PRO 3130MT,SERIE MXL 1071RDL. MONITOR:MODHPLE 2001W,SERIE CNTO1571L7</t>
  </si>
  <si>
    <t>30201-102</t>
  </si>
  <si>
    <t>CPU:MOD,HR PRO 3130MT,SERIE MXL1071RDF.MONITOR: MOD.HPLE 2001W,SERIE CNTO1571FM</t>
  </si>
  <si>
    <t>30201-103</t>
  </si>
  <si>
    <t>13/05/2011</t>
  </si>
  <si>
    <t>LAPTOP INTEL CORE, i7-64OM MARCA:DELL, MOD LATITUDE 6410 SERIE S/N CG365Q1</t>
  </si>
  <si>
    <t>30202-08</t>
  </si>
  <si>
    <t>LAPTOP INTEL CORE, i7-64OM MARCA:DELL, MOD LATITUDE 6410 SERIE S/N G8365Q1</t>
  </si>
  <si>
    <t>30202-09</t>
  </si>
  <si>
    <t>PROYECTOR PARA REUNIONES</t>
  </si>
  <si>
    <t>MARCA EPSON, MODELO POWER LITE 1775W,SERIE: NMWFOYO29IL</t>
  </si>
  <si>
    <t>30324-03</t>
  </si>
  <si>
    <t>IMPRESOR DE TARJETA EN PVC</t>
  </si>
  <si>
    <t>MARCA POLAROID P-5500S,IMPRESIONES A DOS CARAS,BORDE A BORDE REAL,FULL COLOR Y/O MONOCROMATICO,INTERFASE USB. TARJETA DE RED ETHERNET, 16 MB MEMORIA GRAFICA.VELOCIDAD DE IMPRESIÓN COLOR; 18 SEGUNDOS,MONOCROMATICOS; 4.3 SEGUNDOS, PANTALLA LCD.</t>
  </si>
  <si>
    <t>30124-86</t>
  </si>
  <si>
    <t>30124-87</t>
  </si>
  <si>
    <t>30124-88</t>
  </si>
  <si>
    <t>MARCA DELL MODELO OPTOPLEX 390</t>
  </si>
  <si>
    <t>30201-104</t>
  </si>
  <si>
    <t>30201-105</t>
  </si>
  <si>
    <t>30201-106</t>
  </si>
  <si>
    <t>30201-107</t>
  </si>
  <si>
    <t>30201-108</t>
  </si>
  <si>
    <t>30201-109</t>
  </si>
  <si>
    <t>30201-110</t>
  </si>
  <si>
    <t>455-163</t>
  </si>
  <si>
    <t>30201-111</t>
  </si>
  <si>
    <t>COMPUTADORAS LAPTO DELL 3460 SERIE : 5TM5FT1; MOUSE DELL: CN-0RGR5X-44751-25C-0BPV; CARGADOR 1: CN-OJ62H3-71615-26C0EC7-A01; CARGADOR 2: CN06KXKH-74438.265-0926-A00.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</si>
  <si>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30202-11</t>
  </si>
  <si>
    <t>COMPUTADORAS LAPTO DELL 3460 SERIE : 1PT5FT1; MOUSE DELL: CN-0RGR5X-44751-25C-0BUQ; CARGADOR 1: CN-06KXKH-72438-265-0F5E-A00; CARGADOR 2: CN-0J62H3-71615-26C-0ECO-A01.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</si>
  <si>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COMPUTADORAS LAPTO DELL 3460 SERIE : 7TM5FT1; MOUSE DELL: CN-0RGR5X-44751-25C-0BU8; CARGADOR 1: CN-0J62H3-71615-26C-0EC6-A01; CARGADOR 2: CN-06KXKH-72438-265-0833-A00.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</si>
  <si>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COMPUTADORAS LAPTO DELL 3460 SERIE : 6TM5FT1; MOUSE DELL: CN-0RGR5X-44751-25C-01N7; CARGADOR 1: CN-06KXKH-72438-265-0920-A00; CARGADOR 2: CN-0J62H3-71615-26C-0E55-A01. COMPUTADORAS LAPTO, MARCA DELL VOSTRO 3460. PROCESADOR: NUEVO PROCESADOR DE TERCERA GENERACIÓN , INTEL  CORE |7 -3612QM  ( VELOCIDAD DE 2,10GH&lt; HASTA 3.10GHZ DE MANERA DINAMICA A TRAVEZ DE LA TECNOLOGIA TURBO BOST 2.0 INTEL , CACHE DE 6M). SISTEMA OPERTATIVO:WINDOWS 7 PROFESSIONAL ORIGINAL, CON MEDIOS DE 64- BIT ( PARA RECONOCER LOS 6GB RAM). ESPAÑOL: MICROSOFT OFFICE  PRO ORIGINAL, CON UNA MEDIA POR LOTE, DE 64 BIT, ESPAÑOL. MEMORIA RAM: 6GB DE DDR3 A 1333MHZ, SDRAM 2 DIMM. DISPOSITIVO OPTICO PRIMARIO:8XDVD+/-  RW CON ROXIO Y CIBERLINK POWER DVD CON MEDIA. PANTALLA LED: RETRO ILUMINADA ANTIRREFLEJO DE ALTA DEFINICIÓN  (HD) de 14 " (1366x768). DISCO DURO : SATA DE 500 GB (7200 RPM). ACCESORIOS: MOUSE  TIPO USB DEL FABRICANTE DEL EQUIPO, MOUSE PAD DEL FABRICANTE; MALETIN PARA EL RESGUARDO DEL EQUIPO.</t>
  </si>
  <si>
    <t>MARCA: HP, MODELO 4300. NÚMERO DE SERIE DE CPU MXL245031M;MONITOR MOD. HP: CNC212PDVD; BOCINAS MODELO CNK22101WW; TECLADO HP PS/2 BAUDUOOVB3BBS7; MOUSE HP TIPO PS</t>
  </si>
  <si>
    <t>30201-112</t>
  </si>
  <si>
    <t>MARCA: HP, MODELO 4300. NÚMERO DE SERIE DE CPU MXL245031N;MONITOR MOD. HP: CNC212PGTD; BOCINAS MODELO CNK23405JM; TECLADO HP PS/2 BAUDUOOVB3BBSQ; MOUSE HP TIPO PS</t>
  </si>
  <si>
    <t>30201-113</t>
  </si>
  <si>
    <t>MARCA: HP, MODELO 4300. NÚMERO DE SERIE DE CPU MXL245030X;MONITOR MOD. HP: CNC212PFSH; BOCINAS MODELO CNK22101WY; TECLADO HP PS/2 BAUDUOOVB3BAP7; MOUSE HP TIPO PS</t>
  </si>
  <si>
    <t>30201-114</t>
  </si>
  <si>
    <t>MARCA: HP, MODELO 4300. NÚMERO DE SERIE DE CPU MXL2450314;MONITOR MOD. HP: CNC212PDVF; BOCINAS MODELO CNK22101LUX; TECLADO HP PS/2 BAUDUOOVB3BBSF; MOUSE HP TIPO PS</t>
  </si>
  <si>
    <t>30201-115</t>
  </si>
  <si>
    <t>MARCA: HP, MODELO 4300. NÚMERO DE SERIE DE CPU MXL245031J;MONITOR MOD. HP: CNC212PG48; BOCINAS MODELO CNK22101WZ; TECLADO HP PS/2 BAUDUOOVB3BBSF; MOUSE HP TIPO PS</t>
  </si>
  <si>
    <t>30201-116</t>
  </si>
  <si>
    <t xml:space="preserve">PROYECTOR </t>
  </si>
  <si>
    <t>MARCA: EPSON , MODELO:S12</t>
  </si>
  <si>
    <t>30324-04</t>
  </si>
  <si>
    <t>UPS . MARCA MINUTEMAN, MODELO ED9200RM</t>
  </si>
  <si>
    <t>UPS CON SU RESPECTIVO GABINETE DE RESGUARDO</t>
  </si>
  <si>
    <t>30122-132</t>
  </si>
  <si>
    <t>14/11/2005</t>
  </si>
  <si>
    <t>ROTULO CON LOGO</t>
  </si>
  <si>
    <t>ROTULO  CON  LOGO:CAJA MUTUAL DE LOS EMPLEADOS DELMINED,EN LAMINA DE BRONCE</t>
  </si>
  <si>
    <t>31511-03</t>
  </si>
  <si>
    <t>PLACA  CON LOGO DE LA CAJA</t>
  </si>
  <si>
    <t>PLACA MYM DE 70 X 80 CMS.DE COBRE</t>
  </si>
  <si>
    <t>31511-04</t>
  </si>
  <si>
    <t>TOTAL YA DEPRECIADOS</t>
  </si>
  <si>
    <t>ARQ. OSCAR FERNANDO PORTILLO SILVA</t>
  </si>
  <si>
    <t>ARQ. MAYRA ESTELA BENÍTEZ BENAVIDES</t>
  </si>
  <si>
    <t>INVENTARIO DE  ACTIVO FIJO  CON SU RESPECTIVA DEPRECIACIÓN AL 30  DE JUNIO  2018</t>
  </si>
  <si>
    <t>YA DEPRECIADOS JUNIO-2018'!D2</t>
  </si>
  <si>
    <t>EQUIPO DE AIRE ACONDCIONADO MARCA CONFORTSTAR, TIPO MINISPLIT, DE 9,000 BTU/h ; SEER 13, GAS REFRIGERANTE R-410A; 220 VOLTIOS/1HP/60HZ,  CONTROL REMOTO. SERIE  DE CONDESADOR: 240454194027A290130004,  SERIE EVAPORADOR: 3404822480182070120031, MODEL: CPSO9CD(I)</t>
  </si>
  <si>
    <t>455-192A</t>
  </si>
  <si>
    <t>30301-78</t>
  </si>
  <si>
    <t>EQUIPO DE AIRE ACONDCIONADO MARCA MABE, TIPO MINISPLIT, DE 12,000 BTU/h ; SEER 13, GAS REFRIGERANTE R-410A; 220 VOLTIOS/1HP/60HZ, CONTROL REMOTEO Y SUMINISTRO E INSTALALCIÓN DE BOMBA DE CONDENSADO. SERIE  DE CONDESADOR: ST15082329GWE0127,   SERIE EVAPORADOR:  ST150823329GWF0143.</t>
  </si>
  <si>
    <t>EQUIPO DE AIRE ACONDCIONADO MARCA MABE, TIPO MINISPLIT, DE 12,000 BTU/h ; SEER 13, GAS REFRIGERANTE R-410A; 220 VOLTIOS/1HP/60HZ, CONTROL REMOTO  Y SUMINISTRO E INSTALALCIÓN DE BOMBA DE CONDENSADO. SERIE  DE CONDESADOR: ST15082329GWEOO58,   SERIE EVAPORADOR:  ST150823329GWF0100.</t>
  </si>
  <si>
    <t>*LOS EQUIPOS DE AIRE ACONDICIONADO*,CÓDIGO No.455-173AA-30301-67 Y No.455-173F-30301-68 INICIA SU DEPRECIACIÓN EN EL MES DE AGOSTODEPRECIARON EN EL MES DE AGOSTO 2016.</t>
  </si>
  <si>
    <t>INVENTARIO DE  ACTIVO FIJO E INTANGIBLES YA DEPRECIADOS  AL 30 DE JUNIO 2018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</si>
</sst>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General_)"/>
    <numFmt numFmtId="165" formatCode="[$$-409]#,##0.00"/>
    <numFmt numFmtId="166" formatCode="0.000"/>
    <numFmt numFmtId="167" formatCode="&quot;$&quot;#,##0.00;[Red]\-&quot;$&quot;#,##0.00"/>
    <numFmt numFmtId="168" formatCode="dd/mm/yy;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/>
  </cellStyleXfs>
  <cellXfs count="280">
    <xf numFmtId="0" fontId="0" fillId="0" borderId="0" xfId="0"/>
    <xf numFmtId="0" fontId="2" fillId="0" borderId="0" xfId="0" applyFont="1" applyFill="1"/>
    <xf numFmtId="0" fontId="2" fillId="2" borderId="0" xfId="0" applyFont="1" applyFill="1" applyAlignment="1">
      <alignment horizontal="right"/>
    </xf>
    <xf numFmtId="164" fontId="3" fillId="0" borderId="5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vertical="top" wrapText="1"/>
    </xf>
    <xf numFmtId="164" fontId="3" fillId="0" borderId="5" xfId="0" applyNumberFormat="1" applyFont="1" applyFill="1" applyBorder="1" applyAlignment="1">
      <alignment horizontal="right"/>
    </xf>
    <xf numFmtId="44" fontId="3" fillId="0" borderId="5" xfId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center"/>
    </xf>
    <xf numFmtId="164" fontId="3" fillId="0" borderId="5" xfId="0" applyNumberFormat="1" applyFont="1" applyFill="1" applyBorder="1"/>
    <xf numFmtId="49" fontId="3" fillId="0" borderId="5" xfId="0" applyNumberFormat="1" applyFont="1" applyFill="1" applyBorder="1" applyAlignment="1">
      <alignment horizontal="right"/>
    </xf>
    <xf numFmtId="17" fontId="3" fillId="0" borderId="5" xfId="0" applyNumberFormat="1" applyFont="1" applyFill="1" applyBorder="1" applyAlignment="1">
      <alignment horizontal="right"/>
    </xf>
    <xf numFmtId="0" fontId="3" fillId="0" borderId="5" xfId="0" applyNumberFormat="1" applyFont="1" applyFill="1" applyBorder="1" applyAlignment="1">
      <alignment horizontal="right"/>
    </xf>
    <xf numFmtId="1" fontId="3" fillId="0" borderId="5" xfId="0" applyNumberFormat="1" applyFont="1" applyFill="1" applyBorder="1" applyAlignment="1">
      <alignment horizontal="right"/>
    </xf>
    <xf numFmtId="17" fontId="3" fillId="2" borderId="5" xfId="0" applyNumberFormat="1" applyFont="1" applyFill="1" applyBorder="1" applyAlignment="1">
      <alignment horizontal="right"/>
    </xf>
    <xf numFmtId="17" fontId="3" fillId="0" borderId="5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left" vertical="top"/>
    </xf>
    <xf numFmtId="164" fontId="2" fillId="0" borderId="5" xfId="0" applyNumberFormat="1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left" vertical="top"/>
    </xf>
    <xf numFmtId="4" fontId="2" fillId="0" borderId="5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horizontal="right" vertical="top"/>
    </xf>
    <xf numFmtId="49" fontId="2" fillId="0" borderId="5" xfId="0" applyNumberFormat="1" applyFont="1" applyFill="1" applyBorder="1" applyAlignment="1">
      <alignment horizontal="left" vertical="top"/>
    </xf>
    <xf numFmtId="0" fontId="2" fillId="0" borderId="5" xfId="0" applyFont="1" applyFill="1" applyBorder="1" applyAlignment="1" applyProtection="1">
      <alignment vertical="top" wrapText="1"/>
      <protection locked="0"/>
    </xf>
    <xf numFmtId="0" fontId="2" fillId="0" borderId="5" xfId="0" applyFont="1" applyFill="1" applyBorder="1" applyAlignment="1" applyProtection="1">
      <alignment horizontal="left" vertical="top"/>
      <protection locked="0"/>
    </xf>
    <xf numFmtId="4" fontId="2" fillId="0" borderId="5" xfId="0" applyNumberFormat="1" applyFont="1" applyBorder="1" applyAlignment="1">
      <alignment horizontal="right" vertical="top"/>
    </xf>
    <xf numFmtId="4" fontId="2" fillId="2" borderId="5" xfId="0" applyNumberFormat="1" applyFont="1" applyFill="1" applyBorder="1" applyAlignment="1">
      <alignment horizontal="right" vertical="top"/>
    </xf>
    <xf numFmtId="0" fontId="2" fillId="0" borderId="5" xfId="0" applyFont="1" applyFill="1" applyBorder="1"/>
    <xf numFmtId="0" fontId="3" fillId="3" borderId="5" xfId="0" applyFont="1" applyFill="1" applyBorder="1" applyAlignment="1">
      <alignment horizontal="left" vertical="top"/>
    </xf>
    <xf numFmtId="164" fontId="2" fillId="3" borderId="5" xfId="0" applyNumberFormat="1" applyFont="1" applyFill="1" applyBorder="1" applyAlignment="1">
      <alignment vertical="top" wrapText="1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4" fontId="6" fillId="3" borderId="5" xfId="0" applyNumberFormat="1" applyFont="1" applyFill="1" applyBorder="1" applyAlignment="1">
      <alignment horizontal="right" vertical="top"/>
    </xf>
    <xf numFmtId="4" fontId="3" fillId="0" borderId="5" xfId="0" applyNumberFormat="1" applyFont="1" applyFill="1" applyBorder="1" applyAlignment="1">
      <alignment horizontal="right" vertical="top"/>
    </xf>
    <xf numFmtId="14" fontId="2" fillId="0" borderId="5" xfId="0" applyNumberFormat="1" applyFont="1" applyFill="1" applyBorder="1" applyAlignment="1">
      <alignment horizontal="left" vertical="top" wrapText="1"/>
    </xf>
    <xf numFmtId="1" fontId="2" fillId="0" borderId="5" xfId="0" applyNumberFormat="1" applyFont="1" applyFill="1" applyBorder="1" applyAlignment="1">
      <alignment horizontal="left" vertical="top" wrapText="1"/>
    </xf>
    <xf numFmtId="14" fontId="2" fillId="0" borderId="5" xfId="0" applyNumberFormat="1" applyFont="1" applyBorder="1" applyAlignment="1">
      <alignment horizontal="left" vertical="top" wrapText="1"/>
    </xf>
    <xf numFmtId="1" fontId="2" fillId="0" borderId="5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165" fontId="2" fillId="0" borderId="5" xfId="0" applyNumberFormat="1" applyFont="1" applyFill="1" applyBorder="1" applyAlignment="1">
      <alignment horizontal="right" vertical="top" wrapText="1"/>
    </xf>
    <xf numFmtId="0" fontId="2" fillId="0" borderId="0" xfId="0" applyFont="1" applyBorder="1" applyAlignment="1">
      <alignment horizontal="left" vertical="top" wrapText="1"/>
    </xf>
    <xf numFmtId="164" fontId="3" fillId="3" borderId="5" xfId="0" applyNumberFormat="1" applyFont="1" applyFill="1" applyBorder="1" applyAlignment="1">
      <alignment vertical="top" wrapText="1"/>
    </xf>
    <xf numFmtId="164" fontId="5" fillId="3" borderId="5" xfId="0" applyNumberFormat="1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 wrapText="1"/>
    </xf>
    <xf numFmtId="14" fontId="2" fillId="0" borderId="5" xfId="0" applyNumberFormat="1" applyFont="1" applyFill="1" applyBorder="1" applyAlignment="1">
      <alignment horizontal="right" vertical="top" wrapText="1"/>
    </xf>
    <xf numFmtId="166" fontId="2" fillId="0" borderId="5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165" fontId="2" fillId="0" borderId="5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65" fontId="2" fillId="0" borderId="5" xfId="0" applyNumberFormat="1" applyFont="1" applyBorder="1" applyAlignment="1">
      <alignment horizontal="left" vertical="top" wrapText="1"/>
    </xf>
    <xf numFmtId="165" fontId="2" fillId="0" borderId="5" xfId="0" applyNumberFormat="1" applyFont="1" applyBorder="1" applyAlignment="1">
      <alignment horizontal="right" vertical="top" wrapText="1"/>
    </xf>
    <xf numFmtId="166" fontId="2" fillId="0" borderId="5" xfId="0" applyNumberFormat="1" applyFont="1" applyBorder="1" applyAlignment="1">
      <alignment horizontal="left" vertical="top" wrapText="1"/>
    </xf>
    <xf numFmtId="1" fontId="2" fillId="0" borderId="0" xfId="0" applyNumberFormat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1" fontId="2" fillId="0" borderId="6" xfId="0" applyNumberFormat="1" applyFont="1" applyBorder="1" applyAlignment="1">
      <alignment horizontal="left" vertical="top" wrapText="1"/>
    </xf>
    <xf numFmtId="165" fontId="5" fillId="0" borderId="5" xfId="0" applyNumberFormat="1" applyFont="1" applyBorder="1" applyAlignment="1">
      <alignment horizontal="left" vertical="top" wrapText="1"/>
    </xf>
    <xf numFmtId="0" fontId="3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horizontal="left" vertical="top"/>
    </xf>
    <xf numFmtId="14" fontId="2" fillId="0" borderId="7" xfId="0" applyNumberFormat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8" fontId="2" fillId="0" borderId="5" xfId="0" applyNumberFormat="1" applyFont="1" applyBorder="1" applyAlignment="1">
      <alignment horizontal="right" vertical="top" wrapText="1"/>
    </xf>
    <xf numFmtId="4" fontId="2" fillId="0" borderId="0" xfId="0" applyNumberFormat="1" applyFont="1" applyFill="1"/>
    <xf numFmtId="167" fontId="2" fillId="0" borderId="5" xfId="0" applyNumberFormat="1" applyFont="1" applyFill="1" applyBorder="1" applyAlignment="1">
      <alignment horizontal="right" vertical="top" wrapText="1"/>
    </xf>
    <xf numFmtId="49" fontId="3" fillId="3" borderId="5" xfId="0" applyNumberFormat="1" applyFont="1" applyFill="1" applyBorder="1" applyAlignment="1">
      <alignment horizontal="left" vertical="top"/>
    </xf>
    <xf numFmtId="0" fontId="6" fillId="3" borderId="5" xfId="0" applyFont="1" applyFill="1" applyBorder="1" applyAlignment="1" applyProtection="1">
      <alignment horizontal="left" vertical="top"/>
      <protection locked="0"/>
    </xf>
    <xf numFmtId="4" fontId="6" fillId="3" borderId="5" xfId="0" applyNumberFormat="1" applyFont="1" applyFill="1" applyBorder="1" applyAlignment="1" applyProtection="1">
      <alignment horizontal="right" vertical="top"/>
      <protection locked="0"/>
    </xf>
    <xf numFmtId="0" fontId="6" fillId="3" borderId="5" xfId="0" applyFont="1" applyFill="1" applyBorder="1" applyAlignment="1" applyProtection="1">
      <alignment horizontal="right" vertical="top"/>
      <protection locked="0"/>
    </xf>
    <xf numFmtId="49" fontId="3" fillId="0" borderId="5" xfId="0" applyNumberFormat="1" applyFont="1" applyFill="1" applyBorder="1" applyAlignment="1">
      <alignment horizontal="left" vertical="top"/>
    </xf>
    <xf numFmtId="49" fontId="3" fillId="0" borderId="5" xfId="0" applyNumberFormat="1" applyFont="1" applyFill="1" applyBorder="1" applyAlignment="1">
      <alignment horizontal="right" vertical="top"/>
    </xf>
    <xf numFmtId="49" fontId="2" fillId="0" borderId="5" xfId="0" applyNumberFormat="1" applyFont="1" applyFill="1" applyBorder="1" applyAlignment="1">
      <alignment horizontal="right" vertical="top"/>
    </xf>
    <xf numFmtId="49" fontId="6" fillId="0" borderId="5" xfId="0" applyNumberFormat="1" applyFont="1" applyFill="1" applyBorder="1" applyAlignment="1">
      <alignment horizontal="left" vertical="top"/>
    </xf>
    <xf numFmtId="49" fontId="6" fillId="0" borderId="5" xfId="0" applyNumberFormat="1" applyFont="1" applyFill="1" applyBorder="1" applyAlignment="1">
      <alignment horizontal="left" vertical="top" wrapText="1"/>
    </xf>
    <xf numFmtId="167" fontId="6" fillId="0" borderId="5" xfId="0" applyNumberFormat="1" applyFont="1" applyFill="1" applyBorder="1" applyAlignment="1">
      <alignment horizontal="right" vertical="top" wrapText="1"/>
    </xf>
    <xf numFmtId="49" fontId="6" fillId="0" borderId="5" xfId="0" applyNumberFormat="1" applyFont="1" applyFill="1" applyBorder="1" applyAlignment="1">
      <alignment horizontal="right" vertical="top"/>
    </xf>
    <xf numFmtId="4" fontId="6" fillId="0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0" fontId="5" fillId="0" borderId="5" xfId="0" applyFont="1" applyFill="1" applyBorder="1" applyAlignment="1">
      <alignment horizontal="left" vertical="top" wrapText="1"/>
    </xf>
    <xf numFmtId="4" fontId="5" fillId="0" borderId="5" xfId="0" applyNumberFormat="1" applyFont="1" applyFill="1" applyBorder="1" applyAlignment="1">
      <alignment horizontal="right" vertical="top"/>
    </xf>
    <xf numFmtId="4" fontId="6" fillId="2" borderId="5" xfId="0" applyNumberFormat="1" applyFont="1" applyFill="1" applyBorder="1" applyAlignment="1">
      <alignment horizontal="right" vertical="top"/>
    </xf>
    <xf numFmtId="49" fontId="3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4" fontId="6" fillId="0" borderId="0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Border="1" applyAlignment="1">
      <alignment horizontal="right" vertical="top"/>
    </xf>
    <xf numFmtId="4" fontId="6" fillId="2" borderId="0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vertical="top" wrapText="1"/>
    </xf>
    <xf numFmtId="0" fontId="2" fillId="0" borderId="0" xfId="0" applyFont="1" applyFill="1" applyAlignment="1">
      <alignment wrapText="1"/>
    </xf>
    <xf numFmtId="0" fontId="3" fillId="0" borderId="0" xfId="0" applyFont="1" applyFill="1"/>
    <xf numFmtId="0" fontId="3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right"/>
    </xf>
    <xf numFmtId="14" fontId="2" fillId="0" borderId="0" xfId="0" applyNumberFormat="1" applyFont="1" applyBorder="1" applyAlignment="1">
      <alignment horizontal="left" vertical="top" wrapText="1"/>
    </xf>
    <xf numFmtId="165" fontId="2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0" fontId="9" fillId="0" borderId="0" xfId="0" applyFont="1"/>
    <xf numFmtId="0" fontId="10" fillId="0" borderId="0" xfId="0" applyFont="1" applyAlignment="1">
      <alignment vertical="top" wrapText="1"/>
    </xf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0" fontId="10" fillId="0" borderId="0" xfId="0" applyFont="1"/>
    <xf numFmtId="4" fontId="9" fillId="0" borderId="0" xfId="0" applyNumberFormat="1" applyFont="1" applyAlignment="1">
      <alignment horizontal="right"/>
    </xf>
    <xf numFmtId="164" fontId="12" fillId="0" borderId="5" xfId="0" applyNumberFormat="1" applyFont="1" applyBorder="1"/>
    <xf numFmtId="164" fontId="13" fillId="0" borderId="5" xfId="0" applyNumberFormat="1" applyFont="1" applyBorder="1" applyAlignment="1">
      <alignment wrapText="1"/>
    </xf>
    <xf numFmtId="164" fontId="13" fillId="0" borderId="5" xfId="0" applyNumberFormat="1" applyFont="1" applyBorder="1" applyAlignment="1">
      <alignment vertical="top" wrapText="1"/>
    </xf>
    <xf numFmtId="164" fontId="13" fillId="0" borderId="5" xfId="0" applyNumberFormat="1" applyFont="1" applyBorder="1" applyAlignment="1">
      <alignment horizontal="right"/>
    </xf>
    <xf numFmtId="164" fontId="12" fillId="0" borderId="5" xfId="0" applyNumberFormat="1" applyFont="1" applyBorder="1" applyAlignment="1">
      <alignment horizontal="right"/>
    </xf>
    <xf numFmtId="49" fontId="12" fillId="0" borderId="5" xfId="0" applyNumberFormat="1" applyFont="1" applyBorder="1" applyAlignment="1">
      <alignment horizontal="right"/>
    </xf>
    <xf numFmtId="164" fontId="12" fillId="0" borderId="5" xfId="0" applyNumberFormat="1" applyFont="1" applyFill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4" borderId="7" xfId="0" applyFont="1" applyFill="1" applyBorder="1"/>
    <xf numFmtId="164" fontId="13" fillId="4" borderId="7" xfId="0" applyNumberFormat="1" applyFont="1" applyFill="1" applyBorder="1" applyAlignment="1">
      <alignment wrapText="1"/>
    </xf>
    <xf numFmtId="164" fontId="13" fillId="4" borderId="7" xfId="0" applyNumberFormat="1" applyFont="1" applyFill="1" applyBorder="1" applyAlignment="1">
      <alignment vertical="top" wrapText="1"/>
    </xf>
    <xf numFmtId="164" fontId="13" fillId="4" borderId="7" xfId="0" applyNumberFormat="1" applyFont="1" applyFill="1" applyBorder="1" applyAlignment="1">
      <alignment horizontal="right"/>
    </xf>
    <xf numFmtId="164" fontId="12" fillId="4" borderId="7" xfId="0" applyNumberFormat="1" applyFont="1" applyFill="1" applyBorder="1" applyAlignment="1">
      <alignment horizontal="right"/>
    </xf>
    <xf numFmtId="49" fontId="12" fillId="4" borderId="7" xfId="0" applyNumberFormat="1" applyFont="1" applyFill="1" applyBorder="1" applyAlignment="1">
      <alignment horizontal="right"/>
    </xf>
    <xf numFmtId="0" fontId="12" fillId="4" borderId="7" xfId="0" applyFont="1" applyFill="1" applyBorder="1" applyAlignment="1">
      <alignment horizontal="right"/>
    </xf>
    <xf numFmtId="164" fontId="9" fillId="0" borderId="5" xfId="0" applyNumberFormat="1" applyFont="1" applyBorder="1" applyAlignment="1">
      <alignment vertical="top"/>
    </xf>
    <xf numFmtId="164" fontId="10" fillId="0" borderId="5" xfId="0" applyNumberFormat="1" applyFont="1" applyBorder="1" applyAlignment="1">
      <alignment vertical="top" wrapText="1"/>
    </xf>
    <xf numFmtId="0" fontId="10" fillId="0" borderId="5" xfId="0" applyFont="1" applyBorder="1" applyAlignment="1" applyProtection="1">
      <alignment vertical="top" wrapText="1"/>
      <protection locked="0"/>
    </xf>
    <xf numFmtId="0" fontId="10" fillId="0" borderId="5" xfId="0" applyFont="1" applyBorder="1" applyAlignment="1" applyProtection="1">
      <alignment horizontal="right" vertical="top"/>
      <protection locked="0"/>
    </xf>
    <xf numFmtId="4" fontId="9" fillId="0" borderId="5" xfId="0" applyNumberFormat="1" applyFont="1" applyBorder="1" applyAlignment="1">
      <alignment horizontal="right" vertical="top"/>
    </xf>
    <xf numFmtId="4" fontId="9" fillId="0" borderId="5" xfId="0" applyNumberFormat="1" applyFont="1" applyFill="1" applyBorder="1" applyAlignment="1">
      <alignment horizontal="right" vertical="top"/>
    </xf>
    <xf numFmtId="0" fontId="10" fillId="0" borderId="0" xfId="0" applyFont="1" applyAlignment="1">
      <alignment vertical="top"/>
    </xf>
    <xf numFmtId="49" fontId="9" fillId="0" borderId="5" xfId="0" applyNumberFormat="1" applyFont="1" applyBorder="1" applyAlignment="1">
      <alignment vertical="top"/>
    </xf>
    <xf numFmtId="164" fontId="10" fillId="0" borderId="5" xfId="0" applyNumberFormat="1" applyFont="1" applyBorder="1" applyAlignment="1">
      <alignment horizontal="right" vertical="top"/>
    </xf>
    <xf numFmtId="49" fontId="9" fillId="5" borderId="5" xfId="0" applyNumberFormat="1" applyFont="1" applyFill="1" applyBorder="1" applyAlignment="1">
      <alignment vertical="top"/>
    </xf>
    <xf numFmtId="164" fontId="10" fillId="5" borderId="5" xfId="0" applyNumberFormat="1" applyFont="1" applyFill="1" applyBorder="1" applyAlignment="1">
      <alignment vertical="top" wrapText="1"/>
    </xf>
    <xf numFmtId="0" fontId="10" fillId="6" borderId="5" xfId="0" applyFont="1" applyFill="1" applyBorder="1" applyAlignment="1" applyProtection="1">
      <alignment vertical="top" wrapText="1"/>
      <protection locked="0"/>
    </xf>
    <xf numFmtId="0" fontId="10" fillId="6" borderId="5" xfId="0" applyFont="1" applyFill="1" applyBorder="1" applyAlignment="1" applyProtection="1">
      <alignment horizontal="right" vertical="top"/>
      <protection locked="0"/>
    </xf>
    <xf numFmtId="4" fontId="9" fillId="5" borderId="5" xfId="0" applyNumberFormat="1" applyFont="1" applyFill="1" applyBorder="1" applyAlignment="1">
      <alignment horizontal="right" vertical="top"/>
    </xf>
    <xf numFmtId="4" fontId="9" fillId="6" borderId="5" xfId="0" applyNumberFormat="1" applyFont="1" applyFill="1" applyBorder="1" applyAlignment="1">
      <alignment horizontal="right" vertical="top"/>
    </xf>
    <xf numFmtId="49" fontId="9" fillId="0" borderId="5" xfId="0" applyNumberFormat="1" applyFont="1" applyBorder="1" applyAlignment="1">
      <alignment horizontal="left" vertical="top"/>
    </xf>
    <xf numFmtId="0" fontId="9" fillId="0" borderId="5" xfId="0" applyFont="1" applyBorder="1" applyAlignment="1">
      <alignment horizontal="right" vertical="top"/>
    </xf>
    <xf numFmtId="0" fontId="13" fillId="0" borderId="0" xfId="0" applyFont="1" applyAlignment="1">
      <alignment vertical="top"/>
    </xf>
    <xf numFmtId="164" fontId="12" fillId="4" borderId="5" xfId="0" applyNumberFormat="1" applyFont="1" applyFill="1" applyBorder="1" applyAlignment="1">
      <alignment vertical="top"/>
    </xf>
    <xf numFmtId="164" fontId="13" fillId="4" borderId="5" xfId="0" applyNumberFormat="1" applyFont="1" applyFill="1" applyBorder="1" applyAlignment="1">
      <alignment vertical="top" wrapText="1"/>
    </xf>
    <xf numFmtId="0" fontId="13" fillId="4" borderId="5" xfId="0" applyFont="1" applyFill="1" applyBorder="1" applyAlignment="1" applyProtection="1">
      <alignment vertical="top" wrapText="1"/>
      <protection locked="0"/>
    </xf>
    <xf numFmtId="0" fontId="13" fillId="4" borderId="5" xfId="0" applyFont="1" applyFill="1" applyBorder="1" applyAlignment="1" applyProtection="1">
      <alignment horizontal="right" vertical="top"/>
      <protection locked="0"/>
    </xf>
    <xf numFmtId="4" fontId="12" fillId="4" borderId="5" xfId="0" applyNumberFormat="1" applyFont="1" applyFill="1" applyBorder="1" applyAlignment="1">
      <alignment horizontal="right" vertical="top"/>
    </xf>
    <xf numFmtId="0" fontId="12" fillId="4" borderId="5" xfId="0" applyFont="1" applyFill="1" applyBorder="1" applyAlignment="1">
      <alignment vertical="top"/>
    </xf>
    <xf numFmtId="0" fontId="10" fillId="4" borderId="5" xfId="0" applyFont="1" applyFill="1" applyBorder="1" applyAlignment="1" applyProtection="1">
      <alignment vertical="top" wrapText="1"/>
      <protection locked="0"/>
    </xf>
    <xf numFmtId="0" fontId="10" fillId="4" borderId="5" xfId="0" applyFont="1" applyFill="1" applyBorder="1" applyAlignment="1" applyProtection="1">
      <alignment horizontal="right" vertical="top"/>
      <protection locked="0"/>
    </xf>
    <xf numFmtId="4" fontId="9" fillId="4" borderId="5" xfId="0" applyNumberFormat="1" applyFont="1" applyFill="1" applyBorder="1" applyAlignment="1">
      <alignment horizontal="right" vertical="top"/>
    </xf>
    <xf numFmtId="4" fontId="9" fillId="0" borderId="5" xfId="0" applyNumberFormat="1" applyFont="1" applyFill="1" applyBorder="1" applyAlignment="1">
      <alignment horizontal="right" vertical="top" wrapText="1"/>
    </xf>
    <xf numFmtId="14" fontId="9" fillId="0" borderId="5" xfId="0" applyNumberFormat="1" applyFont="1" applyBorder="1" applyAlignment="1">
      <alignment horizontal="left" vertical="top" wrapText="1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right" vertical="top"/>
    </xf>
    <xf numFmtId="4" fontId="9" fillId="7" borderId="5" xfId="0" applyNumberFormat="1" applyFont="1" applyFill="1" applyBorder="1" applyAlignment="1">
      <alignment horizontal="right" vertical="top"/>
    </xf>
    <xf numFmtId="14" fontId="9" fillId="0" borderId="5" xfId="0" applyNumberFormat="1" applyFont="1" applyBorder="1" applyAlignment="1">
      <alignment horizontal="left" vertical="top"/>
    </xf>
    <xf numFmtId="14" fontId="9" fillId="0" borderId="5" xfId="0" applyNumberFormat="1" applyFont="1" applyFill="1" applyBorder="1" applyAlignment="1">
      <alignment horizontal="left" vertical="top"/>
    </xf>
    <xf numFmtId="164" fontId="10" fillId="0" borderId="5" xfId="0" applyNumberFormat="1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right" vertical="top"/>
    </xf>
    <xf numFmtId="0" fontId="9" fillId="0" borderId="5" xfId="0" applyFont="1" applyBorder="1" applyAlignment="1" applyProtection="1">
      <alignment horizontal="right" vertical="top"/>
      <protection locked="0"/>
    </xf>
    <xf numFmtId="168" fontId="9" fillId="0" borderId="5" xfId="0" applyNumberFormat="1" applyFont="1" applyBorder="1" applyAlignment="1">
      <alignment horizontal="left" vertical="top"/>
    </xf>
    <xf numFmtId="49" fontId="9" fillId="0" borderId="5" xfId="0" applyNumberFormat="1" applyFont="1" applyBorder="1" applyAlignment="1">
      <alignment vertical="top" wrapText="1"/>
    </xf>
    <xf numFmtId="0" fontId="10" fillId="0" borderId="5" xfId="0" applyFont="1" applyBorder="1" applyAlignment="1" applyProtection="1">
      <alignment horizontal="right" vertical="top" wrapText="1"/>
      <protection locked="0"/>
    </xf>
    <xf numFmtId="4" fontId="9" fillId="0" borderId="5" xfId="0" applyNumberFormat="1" applyFont="1" applyBorder="1" applyAlignment="1">
      <alignment horizontal="right" vertical="top" wrapText="1"/>
    </xf>
    <xf numFmtId="49" fontId="9" fillId="0" borderId="5" xfId="0" applyNumberFormat="1" applyFont="1" applyFill="1" applyBorder="1" applyAlignment="1">
      <alignment vertical="top"/>
    </xf>
    <xf numFmtId="164" fontId="10" fillId="7" borderId="5" xfId="0" applyNumberFormat="1" applyFont="1" applyFill="1" applyBorder="1" applyAlignment="1">
      <alignment vertical="top" wrapText="1"/>
    </xf>
    <xf numFmtId="0" fontId="10" fillId="7" borderId="5" xfId="0" applyFont="1" applyFill="1" applyBorder="1" applyAlignment="1" applyProtection="1">
      <alignment vertical="top" wrapText="1"/>
      <protection locked="0"/>
    </xf>
    <xf numFmtId="0" fontId="10" fillId="0" borderId="5" xfId="0" applyFont="1" applyFill="1" applyBorder="1" applyAlignment="1" applyProtection="1">
      <alignment horizontal="right" vertical="top"/>
      <protection locked="0"/>
    </xf>
    <xf numFmtId="49" fontId="9" fillId="0" borderId="5" xfId="0" applyNumberFormat="1" applyFont="1" applyFill="1" applyBorder="1" applyAlignment="1">
      <alignment vertical="top" wrapText="1"/>
    </xf>
    <xf numFmtId="0" fontId="10" fillId="0" borderId="5" xfId="0" applyFont="1" applyFill="1" applyBorder="1" applyAlignment="1" applyProtection="1">
      <alignment horizontal="right" vertical="top" wrapText="1"/>
      <protection locked="0"/>
    </xf>
    <xf numFmtId="49" fontId="9" fillId="0" borderId="5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right" vertical="top"/>
    </xf>
    <xf numFmtId="0" fontId="9" fillId="0" borderId="0" xfId="0" applyFont="1" applyFill="1" applyAlignment="1">
      <alignment horizontal="right" vertical="top"/>
    </xf>
    <xf numFmtId="14" fontId="5" fillId="0" borderId="5" xfId="0" applyNumberFormat="1" applyFont="1" applyFill="1" applyBorder="1" applyAlignment="1">
      <alignment horizontal="left" vertical="top"/>
    </xf>
    <xf numFmtId="4" fontId="2" fillId="0" borderId="5" xfId="0" applyNumberFormat="1" applyFont="1" applyFill="1" applyBorder="1" applyAlignment="1">
      <alignment horizontal="left" vertical="top"/>
    </xf>
    <xf numFmtId="4" fontId="2" fillId="0" borderId="5" xfId="0" applyNumberFormat="1" applyFont="1" applyBorder="1" applyAlignment="1">
      <alignment horizontal="left" vertical="top"/>
    </xf>
    <xf numFmtId="4" fontId="2" fillId="2" borderId="5" xfId="0" applyNumberFormat="1" applyFont="1" applyFill="1" applyBorder="1" applyAlignment="1">
      <alignment horizontal="left" vertical="top"/>
    </xf>
    <xf numFmtId="14" fontId="5" fillId="0" borderId="5" xfId="0" applyNumberFormat="1" applyFont="1" applyFill="1" applyBorder="1" applyAlignment="1">
      <alignment horizontal="left" vertical="top" wrapText="1"/>
    </xf>
    <xf numFmtId="164" fontId="13" fillId="4" borderId="5" xfId="0" applyNumberFormat="1" applyFont="1" applyFill="1" applyBorder="1" applyAlignment="1">
      <alignment horizontal="right" vertical="top"/>
    </xf>
    <xf numFmtId="164" fontId="10" fillId="4" borderId="5" xfId="0" applyNumberFormat="1" applyFont="1" applyFill="1" applyBorder="1" applyAlignment="1">
      <alignment vertical="top" wrapText="1"/>
    </xf>
    <xf numFmtId="164" fontId="10" fillId="4" borderId="5" xfId="0" applyNumberFormat="1" applyFont="1" applyFill="1" applyBorder="1" applyAlignment="1">
      <alignment horizontal="right" vertical="top"/>
    </xf>
    <xf numFmtId="49" fontId="9" fillId="7" borderId="5" xfId="0" applyNumberFormat="1" applyFont="1" applyFill="1" applyBorder="1" applyAlignment="1">
      <alignment vertical="top"/>
    </xf>
    <xf numFmtId="0" fontId="10" fillId="7" borderId="5" xfId="0" applyFont="1" applyFill="1" applyBorder="1" applyAlignment="1" applyProtection="1">
      <alignment horizontal="right" vertical="top"/>
      <protection locked="0"/>
    </xf>
    <xf numFmtId="0" fontId="10" fillId="0" borderId="5" xfId="0" applyFont="1" applyFill="1" applyBorder="1" applyAlignment="1" applyProtection="1">
      <alignment vertical="top" wrapText="1"/>
      <protection locked="0"/>
    </xf>
    <xf numFmtId="0" fontId="10" fillId="7" borderId="5" xfId="0" applyFont="1" applyFill="1" applyBorder="1" applyAlignment="1" applyProtection="1">
      <alignment vertical="top" wrapText="1" shrinkToFit="1"/>
      <protection locked="0"/>
    </xf>
    <xf numFmtId="0" fontId="10" fillId="0" borderId="5" xfId="0" applyFont="1" applyBorder="1" applyAlignment="1" applyProtection="1">
      <alignment vertical="top" wrapText="1" shrinkToFit="1"/>
      <protection locked="0"/>
    </xf>
    <xf numFmtId="0" fontId="10" fillId="0" borderId="5" xfId="0" applyFont="1" applyBorder="1" applyAlignment="1">
      <alignment horizontal="left" vertical="top" wrapText="1"/>
    </xf>
    <xf numFmtId="49" fontId="9" fillId="0" borderId="5" xfId="0" applyNumberFormat="1" applyFont="1" applyFill="1" applyBorder="1" applyAlignment="1">
      <alignment horizontal="left" vertical="top"/>
    </xf>
    <xf numFmtId="0" fontId="10" fillId="0" borderId="0" xfId="0" applyFont="1" applyFill="1" applyAlignment="1">
      <alignment vertical="top"/>
    </xf>
    <xf numFmtId="49" fontId="9" fillId="0" borderId="5" xfId="0" applyNumberFormat="1" applyFont="1" applyBorder="1" applyAlignment="1">
      <alignment horizontal="right" vertical="top"/>
    </xf>
    <xf numFmtId="0" fontId="9" fillId="0" borderId="5" xfId="0" applyFont="1" applyFill="1" applyBorder="1" applyAlignment="1">
      <alignment horizontal="right" vertical="top" wrapText="1"/>
    </xf>
    <xf numFmtId="1" fontId="9" fillId="0" borderId="5" xfId="0" applyNumberFormat="1" applyFont="1" applyFill="1" applyBorder="1" applyAlignment="1">
      <alignment horizontal="right" vertical="top" wrapText="1"/>
    </xf>
    <xf numFmtId="4" fontId="10" fillId="0" borderId="5" xfId="0" applyNumberFormat="1" applyFont="1" applyFill="1" applyBorder="1" applyAlignment="1">
      <alignment horizontal="left" vertical="top"/>
    </xf>
    <xf numFmtId="4" fontId="9" fillId="0" borderId="5" xfId="0" applyNumberFormat="1" applyFont="1" applyBorder="1" applyAlignment="1">
      <alignment horizontal="left" vertical="top"/>
    </xf>
    <xf numFmtId="4" fontId="10" fillId="2" borderId="5" xfId="0" applyNumberFormat="1" applyFont="1" applyFill="1" applyBorder="1" applyAlignment="1">
      <alignment horizontal="left" vertical="top"/>
    </xf>
    <xf numFmtId="4" fontId="10" fillId="0" borderId="5" xfId="0" applyNumberFormat="1" applyFont="1" applyBorder="1" applyAlignment="1">
      <alignment horizontal="left" vertical="top"/>
    </xf>
    <xf numFmtId="0" fontId="14" fillId="0" borderId="0" xfId="0" applyFont="1" applyFill="1"/>
    <xf numFmtId="1" fontId="10" fillId="0" borderId="5" xfId="0" applyNumberFormat="1" applyFont="1" applyFill="1" applyBorder="1" applyAlignment="1">
      <alignment vertical="top" wrapText="1"/>
    </xf>
    <xf numFmtId="14" fontId="9" fillId="0" borderId="5" xfId="0" applyNumberFormat="1" applyFont="1" applyFill="1" applyBorder="1" applyAlignment="1">
      <alignment horizontal="left" vertical="top" wrapText="1"/>
    </xf>
    <xf numFmtId="4" fontId="10" fillId="0" borderId="5" xfId="0" applyNumberFormat="1" applyFont="1" applyFill="1" applyBorder="1" applyAlignment="1">
      <alignment horizontal="right" vertical="top" wrapText="1"/>
    </xf>
    <xf numFmtId="4" fontId="10" fillId="0" borderId="5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horizontal="right" vertical="top" wrapText="1"/>
    </xf>
    <xf numFmtId="1" fontId="2" fillId="0" borderId="5" xfId="0" applyNumberFormat="1" applyFont="1" applyFill="1" applyBorder="1" applyAlignment="1">
      <alignment horizontal="right" vertical="top" wrapText="1"/>
    </xf>
    <xf numFmtId="0" fontId="12" fillId="4" borderId="5" xfId="0" applyFont="1" applyFill="1" applyBorder="1"/>
    <xf numFmtId="164" fontId="13" fillId="4" borderId="5" xfId="0" applyNumberFormat="1" applyFont="1" applyFill="1" applyBorder="1" applyAlignment="1">
      <alignment horizontal="left" wrapText="1"/>
    </xf>
    <xf numFmtId="0" fontId="13" fillId="4" borderId="5" xfId="0" applyFont="1" applyFill="1" applyBorder="1" applyAlignment="1">
      <alignment vertical="top" wrapText="1"/>
    </xf>
    <xf numFmtId="164" fontId="13" fillId="4" borderId="5" xfId="0" applyNumberFormat="1" applyFont="1" applyFill="1" applyBorder="1" applyAlignment="1">
      <alignment horizontal="right"/>
    </xf>
    <xf numFmtId="4" fontId="12" fillId="4" borderId="5" xfId="0" applyNumberFormat="1" applyFont="1" applyFill="1" applyBorder="1" applyAlignment="1">
      <alignment horizontal="right"/>
    </xf>
    <xf numFmtId="4" fontId="10" fillId="0" borderId="0" xfId="0" applyNumberFormat="1" applyFont="1"/>
    <xf numFmtId="0" fontId="9" fillId="0" borderId="0" xfId="0" applyFont="1" applyBorder="1"/>
    <xf numFmtId="164" fontId="10" fillId="0" borderId="0" xfId="0" applyNumberFormat="1" applyFont="1" applyBorder="1" applyAlignment="1">
      <alignment horizontal="left" wrapText="1"/>
    </xf>
    <xf numFmtId="0" fontId="10" fillId="0" borderId="0" xfId="0" applyFont="1" applyBorder="1" applyAlignment="1">
      <alignment vertical="top" wrapText="1"/>
    </xf>
    <xf numFmtId="164" fontId="10" fillId="0" borderId="0" xfId="0" applyNumberFormat="1" applyFont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49" fontId="9" fillId="0" borderId="0" xfId="0" applyNumberFormat="1" applyFont="1"/>
    <xf numFmtId="1" fontId="5" fillId="0" borderId="5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2" fillId="0" borderId="0" xfId="0" applyFont="1" applyFill="1" applyAlignment="1">
      <alignment horizontal="right" vertical="top" wrapText="1"/>
    </xf>
    <xf numFmtId="1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1" fontId="2" fillId="0" borderId="0" xfId="0" applyNumberFormat="1" applyFont="1" applyFill="1" applyBorder="1" applyAlignment="1">
      <alignment horizontal="left" vertical="top" wrapText="1"/>
    </xf>
    <xf numFmtId="1" fontId="2" fillId="0" borderId="0" xfId="0" applyNumberFormat="1" applyFont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right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/>
    </xf>
    <xf numFmtId="1" fontId="2" fillId="0" borderId="5" xfId="0" applyNumberFormat="1" applyFont="1" applyBorder="1" applyAlignment="1">
      <alignment vertical="top" wrapText="1"/>
    </xf>
    <xf numFmtId="4" fontId="6" fillId="3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/>
    <xf numFmtId="165" fontId="5" fillId="0" borderId="0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/>
    </xf>
    <xf numFmtId="0" fontId="14" fillId="0" borderId="0" xfId="0" applyFont="1"/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 vertical="top"/>
    </xf>
    <xf numFmtId="164" fontId="3" fillId="0" borderId="1" xfId="0" applyNumberFormat="1" applyFont="1" applyFill="1" applyBorder="1" applyAlignment="1">
      <alignment horizontal="left"/>
    </xf>
    <xf numFmtId="0" fontId="2" fillId="0" borderId="1" xfId="0" applyFont="1" applyBorder="1" applyAlignment="1"/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1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right"/>
    </xf>
    <xf numFmtId="164" fontId="6" fillId="3" borderId="5" xfId="0" applyNumberFormat="1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49" fontId="3" fillId="0" borderId="8" xfId="0" applyNumberFormat="1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164" fontId="7" fillId="0" borderId="10" xfId="0" applyNumberFormat="1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/>
    </xf>
    <xf numFmtId="164" fontId="3" fillId="0" borderId="7" xfId="0" applyNumberFormat="1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0" fillId="0" borderId="1" xfId="0" applyFont="1" applyBorder="1" applyAlignment="1"/>
    <xf numFmtId="0" fontId="11" fillId="0" borderId="1" xfId="0" applyFont="1" applyBorder="1" applyAlignment="1"/>
    <xf numFmtId="0" fontId="10" fillId="0" borderId="0" xfId="0" applyFont="1" applyAlignment="1">
      <alignment horizontal="left" vertical="top" wrapText="1"/>
    </xf>
    <xf numFmtId="0" fontId="10" fillId="0" borderId="5" xfId="0" applyFont="1" applyFill="1" applyBorder="1" applyAlignment="1">
      <alignment horizontal="left" vertical="center" wrapText="1"/>
    </xf>
    <xf numFmtId="164" fontId="16" fillId="0" borderId="13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/>
    </xf>
    <xf numFmtId="164" fontId="13" fillId="0" borderId="5" xfId="0" applyNumberFormat="1" applyFont="1" applyBorder="1" applyAlignment="1">
      <alignment horizontal="center" wrapText="1"/>
    </xf>
    <xf numFmtId="44" fontId="12" fillId="0" borderId="5" xfId="1" applyFont="1" applyBorder="1" applyAlignment="1">
      <alignment horizontal="right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619125</xdr:colOff>
      <xdr:row>1</xdr:row>
      <xdr:rowOff>400050</xdr:rowOff>
    </xdr:to>
    <xdr:pic>
      <xdr:nvPicPr>
        <xdr:cNvPr id="4" name="3 Imagen" descr="Refrescamiento LOGO CAJA MUTUAL_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85725"/>
          <a:ext cx="1257300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2</xdr:col>
      <xdr:colOff>600075</xdr:colOff>
      <xdr:row>3</xdr:row>
      <xdr:rowOff>169048</xdr:rowOff>
    </xdr:to>
    <xdr:pic>
      <xdr:nvPicPr>
        <xdr:cNvPr id="4" name="3 Imagen" descr="Refrescamiento LOGO CAJA MUTUAL_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0"/>
          <a:ext cx="1114425" cy="5595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tivo%20fijo\2018\DEPRECIACION%20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PT12"/>
      <sheetName val="YA DEPRECIADOS SEPT 12"/>
      <sheetName val="OCT12"/>
      <sheetName val="YA DEPRECIADOS OCTUBRE 12"/>
      <sheetName val="NOV12"/>
      <sheetName val="YA DEPRECIADOS NOV 12"/>
      <sheetName val="DIC 12"/>
      <sheetName val="YA DEPRECIADOS DIC 12"/>
      <sheetName val="ENE 13"/>
      <sheetName val="YA DEPRECIADOS ENE 2013"/>
      <sheetName val="FEB-13"/>
      <sheetName val="YA DEPRECIADOS FEB 13"/>
      <sheetName val="MAR-13"/>
      <sheetName val="YA DEPRECIADOS MAR 13"/>
      <sheetName val="ABRIL-13"/>
      <sheetName val="YA DEPRECIADOS ABRIL-13"/>
      <sheetName val="MAYO-13"/>
      <sheetName val="YA DEPRECIADOS MAYO-13"/>
      <sheetName val="JUNIO-13"/>
      <sheetName val="YA DEPRECIADOS JUNIO-13"/>
      <sheetName val="JULIO-13"/>
      <sheetName val="YA DEPRECIADOS JULIO-13"/>
      <sheetName val="AGOSTO-13"/>
      <sheetName val="YA DEPRECIADOS-AGOSTO-13"/>
      <sheetName val="SEPT-13"/>
      <sheetName val="YA DEPRECIADOS- SEPT- 2013"/>
      <sheetName val="OCTUBRE-13"/>
      <sheetName val="YA DEPRECIADOS -OCTUBRE-2013"/>
      <sheetName val="NOVIEMBRE-13"/>
      <sheetName val="YA DEPRECIADOS-NOV-13"/>
      <sheetName val="DICIEMBRE-13"/>
      <sheetName val="YA DEPRECIADOS-DIC-13"/>
      <sheetName val="ENERO-14"/>
      <sheetName val="YA DEPRECIADOS-ENERO-14"/>
      <sheetName val="FEBRERO-14"/>
      <sheetName val="YA DEPRECIADOS-FEBRERO-14"/>
      <sheetName val="MARZO-14"/>
      <sheetName val="YA DEPRECIADOS-MARZO-14"/>
      <sheetName val="ABRIL-14"/>
      <sheetName val="YA DEPRECIADOS - ABRIL-14"/>
      <sheetName val="MAYO-14"/>
      <sheetName val="YA DEPRECIADOS-MAYO-2014"/>
      <sheetName val="JUNIO-14"/>
      <sheetName val="YA DEPRECIADOS-JUNIO-2014"/>
      <sheetName val="JULIO-14"/>
      <sheetName val="YA DEPRECIADOS-JULIO-2014"/>
      <sheetName val="AGOSTO-14"/>
      <sheetName val="YA DEPRECIADOS- AGOSTO-2014"/>
      <sheetName val="SEPTIEMBRE-14"/>
      <sheetName val="YA DEPRECIADOS-SEPT-14"/>
      <sheetName val="OCTUBRE-14"/>
      <sheetName val="YA DEPRECIADOS-OCT-14"/>
      <sheetName val="NOVIEMBRE-14"/>
      <sheetName val="YA DEPRECIADOS -NOVIEMBRE-14"/>
      <sheetName val="DICIEMBRE-14"/>
      <sheetName val="YA DEPRECIADOS -DICIEMBRE-14"/>
      <sheetName val="ENERO-15"/>
      <sheetName val="YA DEPRECIADOS-ENERO-15"/>
      <sheetName val="FEBRERO-15"/>
      <sheetName val="YA DEPRECIADOS- FEBRERO-15"/>
      <sheetName val="MARZO-15"/>
      <sheetName val="YA DEPRECIADOS-MARZO-15"/>
      <sheetName val="ABRIL-15"/>
      <sheetName val="YA DEPRECIADOS- ABRIL-15"/>
      <sheetName val="MAYO-15"/>
      <sheetName val="YA DEPRECIADOS MAYO-15"/>
      <sheetName val="JUNIO-15"/>
      <sheetName val="YA DEPRECIADOS JUNIO-15"/>
      <sheetName val="JULIO-15"/>
      <sheetName val="YA DEPRECIADOS JULIO-15"/>
      <sheetName val="AGOSTO-15"/>
      <sheetName val="YA DEPRECIADOS AGOSTO-15"/>
      <sheetName val="SEPTIEMBRE-15"/>
      <sheetName val="YA DEPRECIADOS SEPT-15"/>
      <sheetName val="OCTUBRE-15"/>
      <sheetName val="YA DEPRECIADOS OCT-15"/>
      <sheetName val="NOV-15"/>
      <sheetName val="YA DEPRECIADOS NOV-15"/>
      <sheetName val="DIC-15"/>
      <sheetName val="YA DEPRECIADOS DIC-15"/>
      <sheetName val="ENERO-16"/>
      <sheetName val="YA DEPRECIADOS ENERO-16"/>
      <sheetName val="FEBRERO-2016"/>
      <sheetName val="YA DEPRECIADOS FEBRERO -2016"/>
      <sheetName val="MARZO-2016"/>
      <sheetName val="YA DEPRECIADOS  MARZO-2016"/>
      <sheetName val="ABRIL-2016"/>
      <sheetName val="YA DEPRECIADOS ABRIL-2016"/>
      <sheetName val="MAYO-2016"/>
      <sheetName val="YA DEPRECIADOS MAYO-2016"/>
      <sheetName val="JUNIO-2016"/>
      <sheetName val="YA DEPRECIADOS JUNIO 2016"/>
      <sheetName val="JULIO-2016"/>
      <sheetName val="YA DEPRECIADOS JULIO-2016"/>
      <sheetName val="AGOSTO- 2016"/>
      <sheetName val="YA DEPRECIADOS AGOSTO -2016"/>
      <sheetName val="SEPTIEMBRE 2016"/>
      <sheetName val="YA DEPRECIADOS SEP-2016"/>
      <sheetName val="OCTUBRE 2016"/>
      <sheetName val="YA DEPRECIADOS OCT-2016"/>
      <sheetName val="NOVIEMBRE 2016"/>
      <sheetName val="YA DEPRECIADOS NOVIEMBRE 2016"/>
      <sheetName val="DICIEMBRE -2016"/>
      <sheetName val="YA DEPRECIADOS DICIEMBRE- 2016"/>
      <sheetName val="ENERO-2017"/>
      <sheetName val="YA DEPRECIADOS ENERO-2017"/>
      <sheetName val="FEBRERO-2017"/>
      <sheetName val="YA DEPRECIADOS FEB-2017"/>
      <sheetName val="MARZO-2017"/>
      <sheetName val="YA DEPRECIADOS MARZO- 2017"/>
      <sheetName val="ABRIL-2017"/>
      <sheetName val="YA DEPRECIADOS ABRIL-2017"/>
      <sheetName val="MAYO-2017"/>
      <sheetName val="YA DEPRECIADOS MAYO-2117"/>
      <sheetName val="JUNIO-2017"/>
      <sheetName val="YA DEPRECIADOS JUNIO-2017"/>
      <sheetName val="JULIO-2017"/>
      <sheetName val="YA DEPRECIADOS JULIO-2017"/>
      <sheetName val="AGOSTO-2017"/>
      <sheetName val="YA DEPRECIADOS-AGOSTO 2017"/>
      <sheetName val="SEPTIEMBRE -2017"/>
      <sheetName val="YA DEPRECIADOS SEPT-2017"/>
      <sheetName val="OCTUBRE-2017"/>
      <sheetName val="YA DEPRECIADOS OCTUBRE 2017"/>
      <sheetName val="NOVIEMBRE-2017"/>
      <sheetName val="YA DEPRECIADOS NOV-2017"/>
      <sheetName val="DICIEMBRE-2017"/>
      <sheetName val="YA DEPRECIADOS DIC-2017"/>
      <sheetName val="ENERO-2018"/>
      <sheetName val="YA DEPRECIADOS ENERO- 2018"/>
      <sheetName val="FEBRERO 2018"/>
      <sheetName val="YA DEPRECIADOS FEB-2018"/>
      <sheetName val="MARZO-2018"/>
      <sheetName val="YA DEPRECIADOS MARZO-2018"/>
      <sheetName val="ABRIL-2018"/>
      <sheetName val="YA DEPRECIADOS ABRIL-2018"/>
      <sheetName val="MAYO-2018"/>
      <sheetName val="YA DEPRECIADOS MAYO-2018"/>
      <sheetName val="JUNIO-2018"/>
      <sheetName val="YA DEPRECIADOS JUNIO-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09">
          <cell r="R109">
            <v>0</v>
          </cell>
        </row>
        <row r="110">
          <cell r="R110">
            <v>0</v>
          </cell>
        </row>
        <row r="111">
          <cell r="R111">
            <v>0</v>
          </cell>
        </row>
        <row r="112">
          <cell r="R112">
            <v>0</v>
          </cell>
        </row>
        <row r="113">
          <cell r="R113">
            <v>0</v>
          </cell>
        </row>
        <row r="114">
          <cell r="R114">
            <v>0</v>
          </cell>
        </row>
        <row r="115">
          <cell r="R115">
            <v>0</v>
          </cell>
        </row>
        <row r="116">
          <cell r="R116">
            <v>0</v>
          </cell>
        </row>
        <row r="117">
          <cell r="R117">
            <v>0</v>
          </cell>
        </row>
        <row r="118">
          <cell r="R118">
            <v>0</v>
          </cell>
        </row>
        <row r="119">
          <cell r="R119">
            <v>0</v>
          </cell>
        </row>
        <row r="120">
          <cell r="R120">
            <v>0</v>
          </cell>
        </row>
        <row r="121">
          <cell r="R121">
            <v>0</v>
          </cell>
        </row>
        <row r="122">
          <cell r="R122">
            <v>0</v>
          </cell>
        </row>
        <row r="123">
          <cell r="R123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72">
          <cell r="V72">
            <v>5.1100000000000003</v>
          </cell>
          <cell r="X72">
            <v>158.30000000000001</v>
          </cell>
          <cell r="Y72">
            <v>148.09</v>
          </cell>
          <cell r="Z72">
            <v>158.30000000000001</v>
          </cell>
          <cell r="AA72">
            <v>153.19</v>
          </cell>
          <cell r="AB72">
            <v>158.30000000000001</v>
          </cell>
          <cell r="AC72">
            <v>153.19</v>
          </cell>
          <cell r="AD72">
            <v>158.30000000000001</v>
          </cell>
          <cell r="AE72">
            <v>158.30000000000001</v>
          </cell>
          <cell r="AF72">
            <v>153.19</v>
          </cell>
          <cell r="AG72">
            <v>158.30000000000001</v>
          </cell>
        </row>
        <row r="157">
          <cell r="V157">
            <v>2.84</v>
          </cell>
        </row>
        <row r="158">
          <cell r="V158">
            <v>2.84</v>
          </cell>
        </row>
        <row r="159">
          <cell r="V159">
            <v>2.84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>
        <row r="158"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</sheetData>
      <sheetData sheetId="122"/>
      <sheetData sheetId="123">
        <row r="166">
          <cell r="AF166">
            <v>1.17</v>
          </cell>
          <cell r="AG166">
            <v>118.04</v>
          </cell>
        </row>
        <row r="167">
          <cell r="AF167">
            <v>1.17</v>
          </cell>
          <cell r="AG167">
            <v>4.03</v>
          </cell>
        </row>
        <row r="168">
          <cell r="AF168">
            <v>1.17</v>
          </cell>
          <cell r="AG168">
            <v>4.03</v>
          </cell>
        </row>
        <row r="169">
          <cell r="AF169">
            <v>1.17</v>
          </cell>
          <cell r="AG169">
            <v>4.03</v>
          </cell>
        </row>
      </sheetData>
      <sheetData sheetId="124"/>
      <sheetData sheetId="125"/>
      <sheetData sheetId="126"/>
      <sheetData sheetId="127"/>
      <sheetData sheetId="128"/>
      <sheetData sheetId="129">
        <row r="187">
          <cell r="W187">
            <v>0</v>
          </cell>
          <cell r="AI187">
            <v>7.4</v>
          </cell>
          <cell r="AJ187">
            <v>7.4</v>
          </cell>
          <cell r="AL187">
            <v>1039.5</v>
          </cell>
          <cell r="AM187">
            <v>15.95</v>
          </cell>
          <cell r="AN187">
            <v>17.66</v>
          </cell>
          <cell r="AO187">
            <v>17.09</v>
          </cell>
          <cell r="AP187">
            <v>17.66</v>
          </cell>
          <cell r="AQ187">
            <v>17.09</v>
          </cell>
          <cell r="AR187">
            <v>17.66</v>
          </cell>
          <cell r="AS187">
            <v>17.66</v>
          </cell>
        </row>
        <row r="188">
          <cell r="W188">
            <v>0</v>
          </cell>
          <cell r="AI188">
            <v>7.4</v>
          </cell>
          <cell r="AJ188">
            <v>7.4</v>
          </cell>
          <cell r="AL188">
            <v>1039.5</v>
          </cell>
          <cell r="AM188">
            <v>15.95</v>
          </cell>
          <cell r="AN188">
            <v>17.66</v>
          </cell>
          <cell r="AO188">
            <v>17.09</v>
          </cell>
          <cell r="AP188">
            <v>17.66</v>
          </cell>
          <cell r="AQ188">
            <v>17.09</v>
          </cell>
          <cell r="AR188">
            <v>17.66</v>
          </cell>
          <cell r="AS188">
            <v>17.66</v>
          </cell>
        </row>
        <row r="189">
          <cell r="W189">
            <v>0</v>
          </cell>
          <cell r="AI189">
            <v>7.4</v>
          </cell>
          <cell r="AJ189">
            <v>7.4</v>
          </cell>
          <cell r="AL189">
            <v>1039.5</v>
          </cell>
          <cell r="AM189">
            <v>15.95</v>
          </cell>
          <cell r="AN189">
            <v>17.66</v>
          </cell>
          <cell r="AO189">
            <v>17.09</v>
          </cell>
          <cell r="AP189">
            <v>17.66</v>
          </cell>
          <cell r="AQ189">
            <v>17.09</v>
          </cell>
          <cell r="AR189">
            <v>17.66</v>
          </cell>
          <cell r="AS189">
            <v>17.66</v>
          </cell>
        </row>
        <row r="190">
          <cell r="W190">
            <v>0</v>
          </cell>
          <cell r="AI190">
            <v>7.4</v>
          </cell>
          <cell r="AJ190">
            <v>7.4</v>
          </cell>
          <cell r="AL190">
            <v>1039.5</v>
          </cell>
          <cell r="AM190">
            <v>15.95</v>
          </cell>
          <cell r="AN190">
            <v>17.66</v>
          </cell>
          <cell r="AO190">
            <v>17.09</v>
          </cell>
          <cell r="AP190">
            <v>17.66</v>
          </cell>
          <cell r="AQ190">
            <v>17.09</v>
          </cell>
          <cell r="AR190">
            <v>17.66</v>
          </cell>
          <cell r="AS190">
            <v>17.66</v>
          </cell>
        </row>
        <row r="191">
          <cell r="W191">
            <v>0</v>
          </cell>
          <cell r="AI191">
            <v>7.4</v>
          </cell>
          <cell r="AJ191">
            <v>7.4</v>
          </cell>
          <cell r="AL191">
            <v>1039.5</v>
          </cell>
          <cell r="AM191">
            <v>15.95</v>
          </cell>
          <cell r="AN191">
            <v>17.66</v>
          </cell>
          <cell r="AO191">
            <v>17.09</v>
          </cell>
          <cell r="AP191">
            <v>17.66</v>
          </cell>
          <cell r="AQ191">
            <v>17.09</v>
          </cell>
          <cell r="AR191">
            <v>17.66</v>
          </cell>
          <cell r="AS191">
            <v>17.66</v>
          </cell>
        </row>
        <row r="192">
          <cell r="W192">
            <v>0</v>
          </cell>
          <cell r="AI192">
            <v>4.12</v>
          </cell>
          <cell r="AJ192">
            <v>4.12</v>
          </cell>
          <cell r="AL192">
            <v>577.79999999999995</v>
          </cell>
          <cell r="AM192">
            <v>8.86</v>
          </cell>
          <cell r="AN192">
            <v>9.81</v>
          </cell>
          <cell r="AO192">
            <v>9.5</v>
          </cell>
          <cell r="AP192">
            <v>9.81</v>
          </cell>
          <cell r="AQ192">
            <v>9.5</v>
          </cell>
          <cell r="AR192">
            <v>9.81</v>
          </cell>
          <cell r="AS192">
            <v>9.81</v>
          </cell>
        </row>
        <row r="193">
          <cell r="W193">
            <v>0</v>
          </cell>
          <cell r="AI193">
            <v>53.75</v>
          </cell>
          <cell r="AJ193">
            <v>53.75</v>
          </cell>
          <cell r="AL193">
            <v>9810</v>
          </cell>
          <cell r="AM193">
            <v>150.51</v>
          </cell>
          <cell r="AN193">
            <v>166.64</v>
          </cell>
          <cell r="AO193">
            <v>161.26</v>
          </cell>
          <cell r="AP193">
            <v>166.64</v>
          </cell>
          <cell r="AQ193">
            <v>161.26</v>
          </cell>
          <cell r="AR193">
            <v>166.64</v>
          </cell>
          <cell r="AS193">
            <v>166.64</v>
          </cell>
        </row>
      </sheetData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Y224"/>
  <sheetViews>
    <sheetView workbookViewId="0">
      <selection activeCell="D20" sqref="D20"/>
    </sheetView>
  </sheetViews>
  <sheetFormatPr baseColWidth="10" defaultRowHeight="18" customHeight="1"/>
  <cols>
    <col min="1" max="1" width="3.28515625" style="1" customWidth="1"/>
    <col min="2" max="2" width="9.7109375" style="1" customWidth="1"/>
    <col min="3" max="3" width="26.140625" style="226" customWidth="1"/>
    <col min="4" max="4" width="32.42578125" style="226" customWidth="1"/>
    <col min="5" max="5" width="9.7109375" style="1" customWidth="1"/>
    <col min="6" max="6" width="8.28515625" style="1" customWidth="1"/>
    <col min="7" max="7" width="9.85546875" style="227" customWidth="1"/>
    <col min="8" max="8" width="8.28515625" style="227" customWidth="1"/>
    <col min="9" max="9" width="10" style="227" customWidth="1"/>
    <col min="10" max="22" width="11.42578125" style="227" hidden="1" customWidth="1"/>
    <col min="23" max="23" width="8.7109375" style="227" hidden="1" customWidth="1"/>
    <col min="24" max="30" width="11.42578125" style="227" hidden="1" customWidth="1"/>
    <col min="31" max="31" width="8.42578125" style="227" hidden="1" customWidth="1"/>
    <col min="32" max="32" width="8.85546875" style="227" hidden="1" customWidth="1"/>
    <col min="33" max="33" width="7.85546875" style="227" hidden="1" customWidth="1"/>
    <col min="34" max="34" width="13.140625" style="227" hidden="1" customWidth="1"/>
    <col min="35" max="36" width="9.85546875" style="227" hidden="1" customWidth="1"/>
    <col min="37" max="47" width="10.140625" style="227" hidden="1" customWidth="1"/>
    <col min="48" max="48" width="9.140625" style="227" hidden="1" customWidth="1"/>
    <col min="49" max="50" width="10.140625" style="227" hidden="1" customWidth="1"/>
    <col min="51" max="51" width="9.5703125" style="227" hidden="1" customWidth="1"/>
    <col min="52" max="52" width="9.85546875" style="227" hidden="1" customWidth="1"/>
    <col min="53" max="53" width="9" style="227" hidden="1" customWidth="1"/>
    <col min="54" max="57" width="10.140625" style="227" hidden="1" customWidth="1"/>
    <col min="58" max="58" width="8.42578125" style="227" hidden="1" customWidth="1"/>
    <col min="59" max="60" width="10.140625" style="227" hidden="1" customWidth="1"/>
    <col min="61" max="61" width="8.5703125" style="227" hidden="1" customWidth="1"/>
    <col min="62" max="62" width="9.42578125" style="227" hidden="1" customWidth="1"/>
    <col min="63" max="63" width="9.28515625" style="227" hidden="1" customWidth="1"/>
    <col min="64" max="73" width="10.140625" style="227" hidden="1" customWidth="1"/>
    <col min="74" max="74" width="10.7109375" style="227" hidden="1" customWidth="1"/>
    <col min="75" max="85" width="10.140625" style="227" hidden="1" customWidth="1"/>
    <col min="86" max="86" width="9.5703125" style="227" hidden="1" customWidth="1"/>
    <col min="87" max="88" width="10.140625" style="227" hidden="1" customWidth="1"/>
    <col min="89" max="89" width="7.5703125" style="227" hidden="1" customWidth="1"/>
    <col min="90" max="90" width="9.28515625" style="227" hidden="1" customWidth="1"/>
    <col min="91" max="95" width="10.140625" style="227" hidden="1" customWidth="1"/>
    <col min="96" max="96" width="9.42578125" style="227" hidden="1" customWidth="1"/>
    <col min="97" max="97" width="10.140625" style="227" hidden="1" customWidth="1"/>
    <col min="98" max="98" width="10.140625" style="2" hidden="1" customWidth="1"/>
    <col min="99" max="104" width="10.140625" style="227" hidden="1" customWidth="1"/>
    <col min="105" max="105" width="8.28515625" style="227" hidden="1" customWidth="1"/>
    <col min="106" max="107" width="10.140625" style="227" hidden="1" customWidth="1"/>
    <col min="108" max="108" width="9.42578125" style="227" hidden="1" customWidth="1"/>
    <col min="109" max="112" width="10.140625" style="227" hidden="1" customWidth="1"/>
    <col min="113" max="113" width="10.140625" style="227" customWidth="1"/>
    <col min="114" max="119" width="10.140625" style="227" hidden="1" customWidth="1"/>
    <col min="120" max="120" width="10.140625" style="227" customWidth="1"/>
    <col min="121" max="121" width="9.7109375" style="227" customWidth="1"/>
    <col min="122" max="122" width="9.85546875" style="227" customWidth="1"/>
    <col min="123" max="16384" width="11.42578125" style="1"/>
  </cols>
  <sheetData>
    <row r="1" spans="2:122" ht="8.25"/>
    <row r="2" spans="2:122" ht="36.75" customHeight="1" thickBot="1">
      <c r="B2" s="244"/>
      <c r="C2" s="245"/>
    </row>
    <row r="3" spans="2:122" ht="12" customHeight="1" thickBot="1">
      <c r="B3" s="246" t="s">
        <v>936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  <c r="BA3" s="247"/>
      <c r="BB3" s="247"/>
      <c r="BC3" s="247"/>
      <c r="BD3" s="247"/>
      <c r="BE3" s="247"/>
      <c r="BF3" s="247"/>
      <c r="BG3" s="247"/>
      <c r="BH3" s="247"/>
      <c r="BI3" s="247"/>
      <c r="BJ3" s="247"/>
      <c r="BK3" s="247"/>
      <c r="BL3" s="247"/>
      <c r="BM3" s="247"/>
      <c r="BN3" s="247"/>
      <c r="BO3" s="247"/>
      <c r="BP3" s="247"/>
      <c r="BQ3" s="247"/>
      <c r="BR3" s="247"/>
      <c r="BS3" s="247"/>
      <c r="BT3" s="247"/>
      <c r="BU3" s="247"/>
      <c r="BV3" s="247"/>
      <c r="BW3" s="247"/>
      <c r="BX3" s="247"/>
      <c r="BY3" s="247"/>
      <c r="BZ3" s="247"/>
      <c r="CA3" s="247"/>
      <c r="CB3" s="247"/>
      <c r="CC3" s="247"/>
      <c r="CD3" s="247"/>
      <c r="CE3" s="247"/>
      <c r="CF3" s="247"/>
      <c r="CG3" s="247"/>
      <c r="CH3" s="247"/>
      <c r="CI3" s="247"/>
      <c r="CJ3" s="247"/>
      <c r="CK3" s="247"/>
      <c r="CL3" s="247"/>
      <c r="CM3" s="247"/>
      <c r="CN3" s="247"/>
      <c r="CO3" s="247"/>
      <c r="CP3" s="247"/>
      <c r="CQ3" s="247"/>
      <c r="CR3" s="247"/>
      <c r="CS3" s="247"/>
      <c r="CT3" s="247"/>
      <c r="CU3" s="247"/>
      <c r="CV3" s="247"/>
      <c r="CW3" s="247"/>
      <c r="CX3" s="247"/>
      <c r="CY3" s="247"/>
      <c r="CZ3" s="247"/>
      <c r="DA3" s="247"/>
      <c r="DB3" s="247"/>
      <c r="DC3" s="247"/>
      <c r="DD3" s="247"/>
      <c r="DE3" s="247"/>
      <c r="DF3" s="247"/>
      <c r="DG3" s="247"/>
      <c r="DH3" s="247"/>
      <c r="DI3" s="247"/>
      <c r="DJ3" s="247"/>
      <c r="DK3" s="247"/>
      <c r="DL3" s="247"/>
      <c r="DM3" s="247"/>
      <c r="DN3" s="247"/>
      <c r="DO3" s="247"/>
      <c r="DP3" s="247"/>
      <c r="DQ3" s="247"/>
      <c r="DR3" s="248"/>
    </row>
    <row r="4" spans="2:122" ht="9" customHeight="1">
      <c r="B4" s="3" t="s">
        <v>0</v>
      </c>
      <c r="C4" s="4" t="s">
        <v>1</v>
      </c>
      <c r="D4" s="4" t="s">
        <v>2</v>
      </c>
      <c r="E4" s="3" t="s">
        <v>3</v>
      </c>
      <c r="F4" s="3" t="s">
        <v>4</v>
      </c>
      <c r="G4" s="5" t="s">
        <v>5</v>
      </c>
      <c r="H4" s="5" t="s">
        <v>6</v>
      </c>
      <c r="I4" s="5" t="s">
        <v>7</v>
      </c>
      <c r="J4" s="5"/>
      <c r="K4" s="6"/>
      <c r="L4" s="5" t="s">
        <v>8</v>
      </c>
      <c r="M4" s="5"/>
      <c r="N4" s="5"/>
      <c r="O4" s="5" t="s">
        <v>9</v>
      </c>
      <c r="P4" s="5" t="s">
        <v>9</v>
      </c>
      <c r="Q4" s="5" t="s">
        <v>9</v>
      </c>
      <c r="R4" s="5" t="s">
        <v>9</v>
      </c>
      <c r="S4" s="7" t="s">
        <v>9</v>
      </c>
      <c r="T4" s="5" t="s">
        <v>10</v>
      </c>
      <c r="U4" s="7" t="s">
        <v>9</v>
      </c>
      <c r="V4" s="7" t="s">
        <v>9</v>
      </c>
      <c r="W4" s="5" t="s">
        <v>9</v>
      </c>
      <c r="X4" s="5"/>
      <c r="Y4" s="5"/>
      <c r="Z4" s="5"/>
      <c r="AA4" s="5"/>
      <c r="AB4" s="5"/>
      <c r="AC4" s="8"/>
      <c r="AD4" s="8"/>
      <c r="AE4" s="8"/>
      <c r="AF4" s="8"/>
      <c r="AG4" s="8"/>
      <c r="AH4" s="8"/>
      <c r="AI4" s="8"/>
      <c r="AJ4" s="7" t="s">
        <v>10</v>
      </c>
      <c r="AK4" s="7" t="s">
        <v>9</v>
      </c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 t="s">
        <v>10</v>
      </c>
      <c r="AY4" s="7" t="s">
        <v>9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 t="s">
        <v>9</v>
      </c>
      <c r="BM4" s="7" t="s">
        <v>9</v>
      </c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 t="s">
        <v>9</v>
      </c>
      <c r="CA4" s="7" t="s">
        <v>9</v>
      </c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 t="s">
        <v>9</v>
      </c>
      <c r="CO4" s="7" t="s">
        <v>9</v>
      </c>
      <c r="CP4" s="7"/>
      <c r="CQ4" s="7"/>
      <c r="CR4" s="7"/>
      <c r="CS4" s="7"/>
      <c r="CT4" s="9"/>
      <c r="CU4" s="7"/>
      <c r="CV4" s="7"/>
      <c r="CW4" s="7"/>
      <c r="CX4" s="7"/>
      <c r="CY4" s="7"/>
      <c r="CZ4" s="7"/>
      <c r="DA4" s="7"/>
      <c r="DB4" s="7" t="s">
        <v>9</v>
      </c>
      <c r="DC4" s="7" t="s">
        <v>9</v>
      </c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 t="s">
        <v>9</v>
      </c>
      <c r="DQ4" s="10" t="s">
        <v>9</v>
      </c>
      <c r="DR4" s="10" t="s">
        <v>11</v>
      </c>
    </row>
    <row r="5" spans="2:122" ht="8.25">
      <c r="B5" s="11"/>
      <c r="C5" s="4"/>
      <c r="D5" s="4"/>
      <c r="E5" s="11"/>
      <c r="F5" s="11"/>
      <c r="G5" s="5" t="s">
        <v>12</v>
      </c>
      <c r="H5" s="5" t="s">
        <v>13</v>
      </c>
      <c r="I5" s="5" t="s">
        <v>14</v>
      </c>
      <c r="J5" s="12" t="s">
        <v>15</v>
      </c>
      <c r="K5" s="5">
        <v>2000</v>
      </c>
      <c r="L5" s="5">
        <v>2001</v>
      </c>
      <c r="M5" s="5">
        <v>2002</v>
      </c>
      <c r="N5" s="12" t="s">
        <v>16</v>
      </c>
      <c r="O5" s="12" t="s">
        <v>17</v>
      </c>
      <c r="P5" s="12" t="s">
        <v>18</v>
      </c>
      <c r="Q5" s="12" t="s">
        <v>19</v>
      </c>
      <c r="R5" s="12" t="s">
        <v>20</v>
      </c>
      <c r="S5" s="7">
        <v>2008</v>
      </c>
      <c r="T5" s="12" t="s">
        <v>21</v>
      </c>
      <c r="U5" s="7">
        <v>2010</v>
      </c>
      <c r="V5" s="7">
        <v>2011</v>
      </c>
      <c r="W5" s="5" t="s">
        <v>22</v>
      </c>
      <c r="X5" s="12" t="s">
        <v>23</v>
      </c>
      <c r="Y5" s="12" t="s">
        <v>24</v>
      </c>
      <c r="Z5" s="12" t="s">
        <v>25</v>
      </c>
      <c r="AA5" s="12" t="s">
        <v>26</v>
      </c>
      <c r="AB5" s="12" t="s">
        <v>27</v>
      </c>
      <c r="AC5" s="12" t="s">
        <v>28</v>
      </c>
      <c r="AD5" s="12" t="s">
        <v>29</v>
      </c>
      <c r="AE5" s="12" t="s">
        <v>30</v>
      </c>
      <c r="AF5" s="12" t="s">
        <v>31</v>
      </c>
      <c r="AG5" s="12" t="s">
        <v>32</v>
      </c>
      <c r="AH5" s="12" t="s">
        <v>33</v>
      </c>
      <c r="AI5" s="12" t="s">
        <v>34</v>
      </c>
      <c r="AJ5" s="12" t="s">
        <v>35</v>
      </c>
      <c r="AK5" s="7" t="s">
        <v>36</v>
      </c>
      <c r="AL5" s="13">
        <v>41275</v>
      </c>
      <c r="AM5" s="13">
        <v>41306</v>
      </c>
      <c r="AN5" s="13">
        <v>41334</v>
      </c>
      <c r="AO5" s="13">
        <v>41365</v>
      </c>
      <c r="AP5" s="13">
        <v>41395</v>
      </c>
      <c r="AQ5" s="13">
        <v>41426</v>
      </c>
      <c r="AR5" s="13">
        <v>41456</v>
      </c>
      <c r="AS5" s="13">
        <v>41487</v>
      </c>
      <c r="AT5" s="13">
        <v>41518</v>
      </c>
      <c r="AU5" s="13">
        <v>41548</v>
      </c>
      <c r="AV5" s="13">
        <v>41579</v>
      </c>
      <c r="AW5" s="13">
        <v>41609</v>
      </c>
      <c r="AX5" s="12" t="s">
        <v>37</v>
      </c>
      <c r="AY5" s="7" t="s">
        <v>38</v>
      </c>
      <c r="AZ5" s="13">
        <v>41640</v>
      </c>
      <c r="BA5" s="13">
        <v>41671</v>
      </c>
      <c r="BB5" s="13">
        <v>41699</v>
      </c>
      <c r="BC5" s="13">
        <v>41730</v>
      </c>
      <c r="BD5" s="13">
        <v>41760</v>
      </c>
      <c r="BE5" s="13">
        <v>41791</v>
      </c>
      <c r="BF5" s="13">
        <v>41821</v>
      </c>
      <c r="BG5" s="13">
        <v>41852</v>
      </c>
      <c r="BH5" s="13">
        <v>41883</v>
      </c>
      <c r="BI5" s="13">
        <v>41913</v>
      </c>
      <c r="BJ5" s="13">
        <v>41944</v>
      </c>
      <c r="BK5" s="13">
        <v>41974</v>
      </c>
      <c r="BL5" s="14">
        <v>2014</v>
      </c>
      <c r="BM5" s="13" t="s">
        <v>39</v>
      </c>
      <c r="BN5" s="13">
        <v>42005</v>
      </c>
      <c r="BO5" s="13">
        <v>42036</v>
      </c>
      <c r="BP5" s="13">
        <v>42064</v>
      </c>
      <c r="BQ5" s="13">
        <v>42095</v>
      </c>
      <c r="BR5" s="13">
        <v>42125</v>
      </c>
      <c r="BS5" s="13">
        <v>42156</v>
      </c>
      <c r="BT5" s="13">
        <v>42186</v>
      </c>
      <c r="BU5" s="13">
        <v>42217</v>
      </c>
      <c r="BV5" s="13">
        <v>42248</v>
      </c>
      <c r="BW5" s="13">
        <v>42278</v>
      </c>
      <c r="BX5" s="13">
        <v>42309</v>
      </c>
      <c r="BY5" s="13">
        <v>42339</v>
      </c>
      <c r="BZ5" s="15">
        <v>2015</v>
      </c>
      <c r="CA5" s="13" t="s">
        <v>40</v>
      </c>
      <c r="CB5" s="13">
        <v>42370</v>
      </c>
      <c r="CC5" s="13">
        <v>42401</v>
      </c>
      <c r="CD5" s="13">
        <v>42430</v>
      </c>
      <c r="CE5" s="13">
        <v>42461</v>
      </c>
      <c r="CF5" s="13">
        <v>42491</v>
      </c>
      <c r="CG5" s="13">
        <v>42522</v>
      </c>
      <c r="CH5" s="13">
        <v>42552</v>
      </c>
      <c r="CI5" s="13">
        <v>42583</v>
      </c>
      <c r="CJ5" s="13">
        <v>42614</v>
      </c>
      <c r="CK5" s="13">
        <v>42644</v>
      </c>
      <c r="CL5" s="13">
        <v>42675</v>
      </c>
      <c r="CM5" s="13">
        <v>42705</v>
      </c>
      <c r="CN5" s="15">
        <v>2016</v>
      </c>
      <c r="CO5" s="15" t="s">
        <v>41</v>
      </c>
      <c r="CP5" s="13">
        <v>42736</v>
      </c>
      <c r="CQ5" s="13">
        <v>42767</v>
      </c>
      <c r="CR5" s="13">
        <v>42795</v>
      </c>
      <c r="CS5" s="13">
        <v>42826</v>
      </c>
      <c r="CT5" s="16">
        <v>42856</v>
      </c>
      <c r="CU5" s="13">
        <v>42887</v>
      </c>
      <c r="CV5" s="13">
        <v>42917</v>
      </c>
      <c r="CW5" s="13">
        <v>42948</v>
      </c>
      <c r="CX5" s="13">
        <v>42979</v>
      </c>
      <c r="CY5" s="13">
        <v>43009</v>
      </c>
      <c r="CZ5" s="13">
        <v>43040</v>
      </c>
      <c r="DA5" s="13">
        <v>43070</v>
      </c>
      <c r="DB5" s="14">
        <v>2017</v>
      </c>
      <c r="DC5" s="13" t="s">
        <v>42</v>
      </c>
      <c r="DD5" s="17">
        <v>43101</v>
      </c>
      <c r="DE5" s="17">
        <v>43132</v>
      </c>
      <c r="DF5" s="17">
        <v>43160</v>
      </c>
      <c r="DG5" s="17">
        <v>43191</v>
      </c>
      <c r="DH5" s="17">
        <v>43221</v>
      </c>
      <c r="DI5" s="17">
        <v>43252</v>
      </c>
      <c r="DJ5" s="17">
        <v>43282</v>
      </c>
      <c r="DK5" s="17">
        <v>43313</v>
      </c>
      <c r="DL5" s="17">
        <v>43344</v>
      </c>
      <c r="DM5" s="17">
        <v>43374</v>
      </c>
      <c r="DN5" s="17">
        <v>43405</v>
      </c>
      <c r="DO5" s="17">
        <v>43435</v>
      </c>
      <c r="DP5" s="17" t="s">
        <v>43</v>
      </c>
      <c r="DQ5" s="17" t="s">
        <v>44</v>
      </c>
      <c r="DR5" s="10" t="s">
        <v>45</v>
      </c>
    </row>
    <row r="6" spans="2:122" ht="8.25">
      <c r="B6" s="18" t="s">
        <v>46</v>
      </c>
      <c r="C6" s="19"/>
      <c r="D6" s="19"/>
      <c r="E6" s="20"/>
      <c r="F6" s="20"/>
      <c r="G6" s="21"/>
      <c r="H6" s="21"/>
      <c r="I6" s="21"/>
      <c r="J6" s="21"/>
      <c r="K6" s="21"/>
      <c r="L6" s="21"/>
      <c r="M6" s="21"/>
      <c r="N6" s="21"/>
      <c r="O6" s="22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</row>
    <row r="7" spans="2:122" ht="8.25">
      <c r="B7" s="23" t="s">
        <v>47</v>
      </c>
      <c r="C7" s="19" t="s">
        <v>48</v>
      </c>
      <c r="D7" s="24" t="s">
        <v>49</v>
      </c>
      <c r="E7" s="25"/>
      <c r="F7" s="25"/>
      <c r="G7" s="21">
        <f>417778/8.75</f>
        <v>47746.057142857142</v>
      </c>
      <c r="H7" s="21">
        <f t="shared" ref="H7:H23" si="0">ROUND((G7*0.1),2)</f>
        <v>4774.6099999999997</v>
      </c>
      <c r="I7" s="21">
        <f t="shared" ref="I7:I23" si="1">(G7*0.9)</f>
        <v>42971.451428571432</v>
      </c>
      <c r="J7" s="21">
        <v>4893.1499999999996</v>
      </c>
      <c r="K7" s="21">
        <v>9400.0300000000007</v>
      </c>
      <c r="L7" s="21">
        <v>1074.29</v>
      </c>
      <c r="M7" s="21">
        <v>1074.29</v>
      </c>
      <c r="N7" s="21">
        <v>1074.29</v>
      </c>
      <c r="O7" s="21">
        <v>1077.23</v>
      </c>
      <c r="P7" s="21">
        <v>1074.29</v>
      </c>
      <c r="Q7" s="21">
        <v>1074.29</v>
      </c>
      <c r="R7" s="21">
        <v>1074.29</v>
      </c>
      <c r="S7" s="21">
        <v>1077.23</v>
      </c>
      <c r="T7" s="21">
        <v>1074.29</v>
      </c>
      <c r="U7" s="21">
        <v>1074.29</v>
      </c>
      <c r="V7" s="21">
        <v>1074.29</v>
      </c>
      <c r="W7" s="21">
        <f>SUM(L7:V7)+559.22+1074.29</f>
        <v>13456.580000000002</v>
      </c>
      <c r="X7" s="21">
        <f>ROUND((I7/40/365*31),2)</f>
        <v>91.24</v>
      </c>
      <c r="Y7" s="21">
        <f>ROUND((I7/40/365*29),2)</f>
        <v>85.35</v>
      </c>
      <c r="Z7" s="21">
        <f>ROUND((I7/40/365*31),2)</f>
        <v>91.24</v>
      </c>
      <c r="AA7" s="21">
        <f>ROUND((I7/40/365*30),2)</f>
        <v>88.3</v>
      </c>
      <c r="AB7" s="21">
        <f>ROUND((I7/40/365*31),2)</f>
        <v>91.24</v>
      </c>
      <c r="AC7" s="21">
        <f>ROUND((I7/40/365*30),2)</f>
        <v>88.3</v>
      </c>
      <c r="AD7" s="21">
        <f>ROUND((I7/40/365*31),2)</f>
        <v>91.24</v>
      </c>
      <c r="AE7" s="21">
        <f>ROUND((I7/40/365*31),2)</f>
        <v>91.24</v>
      </c>
      <c r="AF7" s="21">
        <f>ROUND((I7/40/365*30),2)</f>
        <v>88.3</v>
      </c>
      <c r="AG7" s="21">
        <f>ROUND((I7/40/365*31),2)</f>
        <v>91.24</v>
      </c>
      <c r="AH7" s="21">
        <f>ROUND((I7/40/365*30),2)</f>
        <v>88.3</v>
      </c>
      <c r="AI7" s="21">
        <f>ROUND((I7/40/365*31),2)</f>
        <v>91.24</v>
      </c>
      <c r="AJ7" s="21">
        <f t="shared" ref="AJ7:AJ21" si="2">SUM(X7:AI7)</f>
        <v>1077.2299999999998</v>
      </c>
      <c r="AK7" s="21">
        <f t="shared" ref="AK7:AK21" si="3">ROUND((W7+X7+Y7+Z7+AA7+AB7+AC7+AD7+AE7+AF7+AG7+AH7+AI7),2)</f>
        <v>14533.81</v>
      </c>
      <c r="AL7" s="21">
        <f>ROUND((I7/40/365*31),2)</f>
        <v>91.24</v>
      </c>
      <c r="AM7" s="21">
        <f>ROUND((I7/40/365*28),2)</f>
        <v>82.41</v>
      </c>
      <c r="AN7" s="21">
        <f>ROUND((I7/40/365*31),2)</f>
        <v>91.24</v>
      </c>
      <c r="AO7" s="21">
        <f>ROUND((I7/40/365*30),2)</f>
        <v>88.3</v>
      </c>
      <c r="AP7" s="21">
        <f>ROUND((I7/40/365*31),2)</f>
        <v>91.24</v>
      </c>
      <c r="AQ7" s="21">
        <f>ROUND((I7/40/365*30),2)</f>
        <v>88.3</v>
      </c>
      <c r="AR7" s="21">
        <f>ROUND((I7/40/365*31),2)</f>
        <v>91.24</v>
      </c>
      <c r="AS7" s="21">
        <f>ROUND((I7/40/365*31),2)</f>
        <v>91.24</v>
      </c>
      <c r="AT7" s="21">
        <f>ROUND((I7/40/365*30),2)</f>
        <v>88.3</v>
      </c>
      <c r="AU7" s="21">
        <f>ROUND((I7/40/365*31),2)</f>
        <v>91.24</v>
      </c>
      <c r="AV7" s="21">
        <f>ROUND((I7/40/365*30),2)</f>
        <v>88.3</v>
      </c>
      <c r="AW7" s="21">
        <f>ROUND((I7/40/365*31),2)</f>
        <v>91.24</v>
      </c>
      <c r="AX7" s="21">
        <f t="shared" ref="AX7:AX21" si="4">SUM(AL7:AW7)</f>
        <v>1074.29</v>
      </c>
      <c r="AY7" s="21">
        <f t="shared" ref="AY7:AY21" si="5">ROUND((AK7+AL7+AM7+AN7+AO7+AP7+AQ7+AR7+AS7+AT7+AU7+AV7+AW7),2)</f>
        <v>15608.1</v>
      </c>
      <c r="AZ7" s="21">
        <f>ROUND((I7/40/365*31),2)</f>
        <v>91.24</v>
      </c>
      <c r="BA7" s="21">
        <f>ROUND((I7/40/365*28),2)</f>
        <v>82.41</v>
      </c>
      <c r="BB7" s="21">
        <f>ROUND((I7/40/365*31),2)</f>
        <v>91.24</v>
      </c>
      <c r="BC7" s="21">
        <f>ROUND((I7/40/365*30),2)</f>
        <v>88.3</v>
      </c>
      <c r="BD7" s="21">
        <f>ROUND((I7/40/365*31),2)</f>
        <v>91.24</v>
      </c>
      <c r="BE7" s="21">
        <f>ROUND((I7/40/365*30),2)</f>
        <v>88.3</v>
      </c>
      <c r="BF7" s="21">
        <f>ROUND((I7/40/365*31),2)</f>
        <v>91.24</v>
      </c>
      <c r="BG7" s="21">
        <f>ROUND((I7/40/365*31),2)</f>
        <v>91.24</v>
      </c>
      <c r="BH7" s="21">
        <f>ROUND((I7/40/365*30),2)</f>
        <v>88.3</v>
      </c>
      <c r="BI7" s="21">
        <f>ROUND((I7/40/365*31),2)</f>
        <v>91.24</v>
      </c>
      <c r="BJ7" s="21">
        <f>ROUND((I7/40/365*30),2)</f>
        <v>88.3</v>
      </c>
      <c r="BK7" s="21">
        <f>ROUND((I7/40/365*31),2)</f>
        <v>91.24</v>
      </c>
      <c r="BL7" s="21">
        <f t="shared" ref="BL7:BL21" si="6">SUM(AZ7:BK7)</f>
        <v>1074.29</v>
      </c>
      <c r="BM7" s="21">
        <f t="shared" ref="BM7:BM21" si="7">ROUND((AY7+BL7),2)</f>
        <v>16682.39</v>
      </c>
      <c r="BN7" s="21">
        <f>ROUND((I7/40/365*31),2)</f>
        <v>91.24</v>
      </c>
      <c r="BO7" s="21">
        <f>ROUND((I7/40/365*28),2)</f>
        <v>82.41</v>
      </c>
      <c r="BP7" s="21">
        <f>ROUND((I7/40/365*31),2)</f>
        <v>91.24</v>
      </c>
      <c r="BQ7" s="21">
        <f>ROUND((I7/40/365*30),2)</f>
        <v>88.3</v>
      </c>
      <c r="BR7" s="21">
        <f>ROUND((I7/40/365*31),2)</f>
        <v>91.24</v>
      </c>
      <c r="BS7" s="21">
        <f>ROUND((I7/40/365*30),2)</f>
        <v>88.3</v>
      </c>
      <c r="BT7" s="21">
        <f>ROUND((I7/40/365*31),2)</f>
        <v>91.24</v>
      </c>
      <c r="BU7" s="21">
        <f>ROUND((I7/40/365*31),2)</f>
        <v>91.24</v>
      </c>
      <c r="BV7" s="21">
        <f>ROUND((I7/40/365*30),2)</f>
        <v>88.3</v>
      </c>
      <c r="BW7" s="21">
        <f>ROUND((I7/40/365*31),2)</f>
        <v>91.24</v>
      </c>
      <c r="BX7" s="21">
        <f>ROUND((I7/40/365*30),2)</f>
        <v>88.3</v>
      </c>
      <c r="BY7" s="21">
        <f>ROUND((I7/40/365*31),2)</f>
        <v>91.24</v>
      </c>
      <c r="BZ7" s="21">
        <f t="shared" ref="BZ7:BZ22" si="8">SUM(BN7:BY7)</f>
        <v>1074.29</v>
      </c>
      <c r="CA7" s="21">
        <f t="shared" ref="CA7:CA22" si="9">ROUND((BM7+BZ7),2)</f>
        <v>17756.68</v>
      </c>
      <c r="CB7" s="21">
        <f>ROUND((I7/40/365*31),2)</f>
        <v>91.24</v>
      </c>
      <c r="CC7" s="21">
        <f>ROUND((I7/40/365*29),2)</f>
        <v>85.35</v>
      </c>
      <c r="CD7" s="21">
        <f>ROUND((I7/40/365*31),2)</f>
        <v>91.24</v>
      </c>
      <c r="CE7" s="21">
        <f>ROUND((I7/40/365*30),2)</f>
        <v>88.3</v>
      </c>
      <c r="CF7" s="21">
        <f>ROUND((I7/40/365*31),2)</f>
        <v>91.24</v>
      </c>
      <c r="CG7" s="21">
        <f>ROUND((I7/40/365*30),2)</f>
        <v>88.3</v>
      </c>
      <c r="CH7" s="21">
        <f>ROUND((I7/40/365*31),2)</f>
        <v>91.24</v>
      </c>
      <c r="CI7" s="21">
        <f>ROUND((I7/40/365*31),2)</f>
        <v>91.24</v>
      </c>
      <c r="CJ7" s="21">
        <f>ROUND((I7/40/365*30),2)</f>
        <v>88.3</v>
      </c>
      <c r="CK7" s="21">
        <f>ROUND((I7/40/365*31),2)</f>
        <v>91.24</v>
      </c>
      <c r="CL7" s="21">
        <f>ROUND((I7/40/365*30),2)</f>
        <v>88.3</v>
      </c>
      <c r="CM7" s="21">
        <f>ROUND((I7/40/365*31),2)</f>
        <v>91.24</v>
      </c>
      <c r="CN7" s="21">
        <f t="shared" ref="CN7:CN22" si="10">SUM(CB7:CM7)</f>
        <v>1077.2299999999998</v>
      </c>
      <c r="CO7" s="26">
        <f t="shared" ref="CO7:CO22" si="11">ROUND((CA7+CN7),2)</f>
        <v>18833.91</v>
      </c>
      <c r="CP7" s="21">
        <f>ROUND((I7/40/365*31),2)</f>
        <v>91.24</v>
      </c>
      <c r="CQ7" s="21">
        <f>ROUND((I7/40/365*28),2)</f>
        <v>82.41</v>
      </c>
      <c r="CR7" s="21">
        <f>ROUND((I7/40/365*31),2)</f>
        <v>91.24</v>
      </c>
      <c r="CS7" s="21">
        <f>ROUND((I7/40/365*30),2)</f>
        <v>88.3</v>
      </c>
      <c r="CT7" s="27">
        <f>ROUND((I7/40/365*31),2)</f>
        <v>91.24</v>
      </c>
      <c r="CU7" s="21">
        <f>ROUND((I7/40/365*30),2)</f>
        <v>88.3</v>
      </c>
      <c r="CV7" s="21">
        <f>ROUND((I7/40/365*31),2)</f>
        <v>91.24</v>
      </c>
      <c r="CW7" s="21">
        <f>ROUND((I7/40/365*31),2)</f>
        <v>91.24</v>
      </c>
      <c r="CX7" s="21">
        <f>ROUND((I7/40/365*30),2)</f>
        <v>88.3</v>
      </c>
      <c r="CY7" s="21">
        <f>ROUND((I7/40/365*31),2)</f>
        <v>91.24</v>
      </c>
      <c r="CZ7" s="21">
        <f>ROUND((I7/40/365*30),2)</f>
        <v>88.3</v>
      </c>
      <c r="DA7" s="21">
        <f>ROUND((I7/40/365*31),2)</f>
        <v>91.24</v>
      </c>
      <c r="DB7" s="26">
        <f t="shared" ref="DB7:DB23" si="12">SUM(CP7:DA7)</f>
        <v>1074.29</v>
      </c>
      <c r="DC7" s="26">
        <f t="shared" ref="DC7:DC23" si="13">ROUND((CO7+DB7),2)</f>
        <v>19908.2</v>
      </c>
      <c r="DD7" s="21">
        <f>ROUND((I7/40/365*31),2)</f>
        <v>91.24</v>
      </c>
      <c r="DE7" s="21">
        <f>ROUND((I7/40/365*28),2)</f>
        <v>82.41</v>
      </c>
      <c r="DF7" s="21">
        <f>ROUND((I7/40/365*31),2)</f>
        <v>91.24</v>
      </c>
      <c r="DG7" s="21">
        <f>ROUND((I7/40/365*30),2)</f>
        <v>88.3</v>
      </c>
      <c r="DH7" s="21">
        <f>ROUND((I7/40/365*31),2)</f>
        <v>91.24</v>
      </c>
      <c r="DI7" s="21">
        <f>ROUND((I7/40/365*30),2)</f>
        <v>88.3</v>
      </c>
      <c r="DJ7" s="26"/>
      <c r="DK7" s="26"/>
      <c r="DL7" s="26"/>
      <c r="DM7" s="26"/>
      <c r="DN7" s="26"/>
      <c r="DO7" s="26"/>
      <c r="DP7" s="26">
        <f>SUM(DD7:DO7)</f>
        <v>532.73</v>
      </c>
      <c r="DQ7" s="21">
        <f>ROUND((DC7+DD7+DE7+DF7+DG7+DH7+DI7+DJ7+DK7+DL7+DM7+DN7+DO7),2)</f>
        <v>20440.93</v>
      </c>
      <c r="DR7" s="21">
        <f>SUM(G7-DQ7)</f>
        <v>27305.127142857142</v>
      </c>
    </row>
    <row r="8" spans="2:122" ht="8.25">
      <c r="B8" s="23" t="s">
        <v>50</v>
      </c>
      <c r="C8" s="19" t="s">
        <v>51</v>
      </c>
      <c r="D8" s="24" t="s">
        <v>52</v>
      </c>
      <c r="E8" s="25"/>
      <c r="F8" s="25"/>
      <c r="G8" s="21">
        <f>1985000-633950</f>
        <v>1351050</v>
      </c>
      <c r="H8" s="21">
        <f t="shared" si="0"/>
        <v>135105</v>
      </c>
      <c r="I8" s="21">
        <f t="shared" si="1"/>
        <v>1215945</v>
      </c>
      <c r="J8" s="21"/>
      <c r="K8" s="21"/>
      <c r="L8" s="21"/>
      <c r="M8" s="21"/>
      <c r="N8" s="21"/>
      <c r="O8" s="21"/>
      <c r="P8" s="21">
        <v>2156.52</v>
      </c>
      <c r="Q8" s="21">
        <v>60548.42</v>
      </c>
      <c r="R8" s="21">
        <v>60548.42</v>
      </c>
      <c r="S8" s="21">
        <v>60714.31</v>
      </c>
      <c r="T8" s="21">
        <v>60548.42</v>
      </c>
      <c r="U8" s="21">
        <v>60548.42</v>
      </c>
      <c r="V8" s="21">
        <v>60548.42</v>
      </c>
      <c r="W8" s="21">
        <f t="shared" ref="W8:W21" si="14">O8+P8+Q8+R8+S8+T8+U8+V8</f>
        <v>365612.92999999993</v>
      </c>
      <c r="X8" s="21">
        <f t="shared" ref="X8:X20" si="15">ROUND((I8/7330*31),2)</f>
        <v>5142.47</v>
      </c>
      <c r="Y8" s="21">
        <f t="shared" ref="Y8:Y20" si="16">ROUND((I8/7330*29),2)</f>
        <v>4810.7</v>
      </c>
      <c r="Z8" s="21">
        <f t="shared" ref="Z8:Z20" si="17">ROUND((I8/7330*31),2)</f>
        <v>5142.47</v>
      </c>
      <c r="AA8" s="21">
        <f t="shared" ref="AA8:AA20" si="18">ROUND((I8/7330*30),2)</f>
        <v>4976.58</v>
      </c>
      <c r="AB8" s="21">
        <f t="shared" ref="AB8:AB20" si="19">ROUND((I8/7330*31),2)</f>
        <v>5142.47</v>
      </c>
      <c r="AC8" s="21">
        <f t="shared" ref="AC8:AC20" si="20">ROUND((I8/7330*30),2)</f>
        <v>4976.58</v>
      </c>
      <c r="AD8" s="21">
        <f t="shared" ref="AD8:AD20" si="21">ROUND((I8/7330*31),2)</f>
        <v>5142.47</v>
      </c>
      <c r="AE8" s="21">
        <f t="shared" ref="AE8:AE20" si="22">ROUND((I8/7330*31),2)</f>
        <v>5142.47</v>
      </c>
      <c r="AF8" s="21">
        <f t="shared" ref="AF8:AF20" si="23">ROUND((I8/7330*30),2)</f>
        <v>4976.58</v>
      </c>
      <c r="AG8" s="21">
        <f t="shared" ref="AG8:AG20" si="24">ROUND((I8/7330*31),2)</f>
        <v>5142.47</v>
      </c>
      <c r="AH8" s="21">
        <f t="shared" ref="AH8:AH20" si="25">ROUND((I8/7330*30),2)</f>
        <v>4976.58</v>
      </c>
      <c r="AI8" s="21">
        <f t="shared" ref="AI8:AI21" si="26">ROUND((I8/7330*31),2)</f>
        <v>5142.47</v>
      </c>
      <c r="AJ8" s="21">
        <f t="shared" si="2"/>
        <v>60714.310000000012</v>
      </c>
      <c r="AK8" s="21">
        <f t="shared" si="3"/>
        <v>426327.24</v>
      </c>
      <c r="AL8" s="21">
        <f t="shared" ref="AL8:AL21" si="27">ROUND((I8/7330*31),2)</f>
        <v>5142.47</v>
      </c>
      <c r="AM8" s="21">
        <f t="shared" ref="AM8:AM21" si="28">ROUND((I8/7330*28),2)</f>
        <v>4644.8100000000004</v>
      </c>
      <c r="AN8" s="21">
        <f t="shared" ref="AN8:AN21" si="29">ROUND((I8/7330*31),2)</f>
        <v>5142.47</v>
      </c>
      <c r="AO8" s="21">
        <f t="shared" ref="AO8:AO21" si="30">ROUND((I8/7330*30),2)</f>
        <v>4976.58</v>
      </c>
      <c r="AP8" s="21">
        <f t="shared" ref="AP8:AP21" si="31">ROUND((I8/7330*31),2)</f>
        <v>5142.47</v>
      </c>
      <c r="AQ8" s="21">
        <f t="shared" ref="AQ8:AQ21" si="32">ROUND((I8/7330*30),2)</f>
        <v>4976.58</v>
      </c>
      <c r="AR8" s="21">
        <f t="shared" ref="AR8:AR21" si="33">ROUND((I8/7330*31),2)</f>
        <v>5142.47</v>
      </c>
      <c r="AS8" s="21">
        <f t="shared" ref="AS8:AS21" si="34">ROUND((I8/7330*31),2)</f>
        <v>5142.47</v>
      </c>
      <c r="AT8" s="21">
        <f t="shared" ref="AT8:AT21" si="35">ROUND((I8/7330*30),2)</f>
        <v>4976.58</v>
      </c>
      <c r="AU8" s="21">
        <f t="shared" ref="AU8:AU21" si="36">ROUND((I8/7330*31),2)</f>
        <v>5142.47</v>
      </c>
      <c r="AV8" s="21">
        <f t="shared" ref="AV8:AV21" si="37">ROUND((I8/7330*30),2)</f>
        <v>4976.58</v>
      </c>
      <c r="AW8" s="21">
        <f t="shared" ref="AW8:AW21" si="38">ROUND((I8/7330*31),2)</f>
        <v>5142.47</v>
      </c>
      <c r="AX8" s="21">
        <f t="shared" si="4"/>
        <v>60548.420000000013</v>
      </c>
      <c r="AY8" s="21">
        <f t="shared" si="5"/>
        <v>486875.66</v>
      </c>
      <c r="AZ8" s="21">
        <f t="shared" ref="AZ8:AZ21" si="39">ROUND((I8/7330*31),2)</f>
        <v>5142.47</v>
      </c>
      <c r="BA8" s="21">
        <f t="shared" ref="BA8:BA21" si="40">ROUND((I8/7330*28),2)</f>
        <v>4644.8100000000004</v>
      </c>
      <c r="BB8" s="21">
        <f t="shared" ref="BB8:BB21" si="41">ROUND((I8/7330*31),2)</f>
        <v>5142.47</v>
      </c>
      <c r="BC8" s="21">
        <f t="shared" ref="BC8:BC21" si="42">ROUND((I8/7330*30),2)</f>
        <v>4976.58</v>
      </c>
      <c r="BD8" s="21">
        <f t="shared" ref="BD8:BD21" si="43">ROUND((I8/7330*31),2)</f>
        <v>5142.47</v>
      </c>
      <c r="BE8" s="21">
        <f t="shared" ref="BE8:BE21" si="44">ROUND((I8/7330*30),2)</f>
        <v>4976.58</v>
      </c>
      <c r="BF8" s="21">
        <f t="shared" ref="BF8:BF21" si="45">ROUND((I8/7330*31),2)</f>
        <v>5142.47</v>
      </c>
      <c r="BG8" s="21">
        <f t="shared" ref="BG8:BG21" si="46">ROUND((I8/7330*31),2)</f>
        <v>5142.47</v>
      </c>
      <c r="BH8" s="21">
        <f t="shared" ref="BH8:BH21" si="47">ROUND((I8/7330*30),2)</f>
        <v>4976.58</v>
      </c>
      <c r="BI8" s="21">
        <f t="shared" ref="BI8:BI21" si="48">ROUND((I8/7330*31),2)</f>
        <v>5142.47</v>
      </c>
      <c r="BJ8" s="21">
        <f t="shared" ref="BJ8:BJ21" si="49">ROUND((I8/7330*30),2)</f>
        <v>4976.58</v>
      </c>
      <c r="BK8" s="21">
        <f t="shared" ref="BK8:BK21" si="50">ROUND((I8/7330*31),2)</f>
        <v>5142.47</v>
      </c>
      <c r="BL8" s="21">
        <f t="shared" si="6"/>
        <v>60548.420000000013</v>
      </c>
      <c r="BM8" s="21">
        <f t="shared" si="7"/>
        <v>547424.07999999996</v>
      </c>
      <c r="BN8" s="21">
        <f t="shared" ref="BN8:BN21" si="51">ROUND((I8/7330*31),2)</f>
        <v>5142.47</v>
      </c>
      <c r="BO8" s="21">
        <f t="shared" ref="BO8:BO21" si="52">ROUND((I8/7330*28),2)</f>
        <v>4644.8100000000004</v>
      </c>
      <c r="BP8" s="21">
        <f t="shared" ref="BP8:BP21" si="53">ROUND((I8/7330*31),2)</f>
        <v>5142.47</v>
      </c>
      <c r="BQ8" s="21">
        <f t="shared" ref="BQ8:BQ21" si="54">ROUND((I8/7330*30),2)</f>
        <v>4976.58</v>
      </c>
      <c r="BR8" s="21">
        <f t="shared" ref="BR8:BR21" si="55">ROUND((I8/7330*31),2)</f>
        <v>5142.47</v>
      </c>
      <c r="BS8" s="21">
        <f t="shared" ref="BS8:BS21" si="56">ROUND((I8/7330*30),2)</f>
        <v>4976.58</v>
      </c>
      <c r="BT8" s="21">
        <f t="shared" ref="BT8:BT21" si="57">ROUND((I8/7330*31),2)</f>
        <v>5142.47</v>
      </c>
      <c r="BU8" s="21">
        <f t="shared" ref="BU8:BU21" si="58">ROUND((I8/7330*31),2)</f>
        <v>5142.47</v>
      </c>
      <c r="BV8" s="21">
        <f t="shared" ref="BV8:BV21" si="59">ROUND((I8/7330*30),2)</f>
        <v>4976.58</v>
      </c>
      <c r="BW8" s="21">
        <f t="shared" ref="BW8:BW21" si="60">ROUND((I8/7330*31),2)</f>
        <v>5142.47</v>
      </c>
      <c r="BX8" s="21">
        <f t="shared" ref="BX8:BX22" si="61">ROUND((I8/7330*30),2)</f>
        <v>4976.58</v>
      </c>
      <c r="BY8" s="21">
        <f t="shared" ref="BY8:BY22" si="62">ROUND((I8/7330*31),2)</f>
        <v>5142.47</v>
      </c>
      <c r="BZ8" s="21">
        <f t="shared" si="8"/>
        <v>60548.420000000013</v>
      </c>
      <c r="CA8" s="21">
        <f t="shared" si="9"/>
        <v>607972.5</v>
      </c>
      <c r="CB8" s="21">
        <f t="shared" ref="CB8:CB22" si="63">ROUND((I8/7330*31),2)</f>
        <v>5142.47</v>
      </c>
      <c r="CC8" s="21">
        <f t="shared" ref="CC8:CC22" si="64">ROUND((I8/7330*29),2)</f>
        <v>4810.7</v>
      </c>
      <c r="CD8" s="21">
        <f t="shared" ref="CD8:CD22" si="65">ROUND((I8/7330*31),2)</f>
        <v>5142.47</v>
      </c>
      <c r="CE8" s="21">
        <f t="shared" ref="CE8:CE22" si="66">ROUND((I8/7330*30),2)</f>
        <v>4976.58</v>
      </c>
      <c r="CF8" s="21">
        <f t="shared" ref="CF8:CF22" si="67">ROUND((I8/7330*31),2)</f>
        <v>5142.47</v>
      </c>
      <c r="CG8" s="21">
        <f t="shared" ref="CG8:CG22" si="68">ROUND((I8/7330*30),2)</f>
        <v>4976.58</v>
      </c>
      <c r="CH8" s="21">
        <f t="shared" ref="CH8:CH22" si="69">ROUND((I8/7330*31),2)</f>
        <v>5142.47</v>
      </c>
      <c r="CI8" s="21">
        <f t="shared" ref="CI8:CI22" si="70">ROUND((I8/7330*31),2)</f>
        <v>5142.47</v>
      </c>
      <c r="CJ8" s="21">
        <f t="shared" ref="CJ8:CJ22" si="71">ROUND((I8/7330*30),2)</f>
        <v>4976.58</v>
      </c>
      <c r="CK8" s="21">
        <f t="shared" ref="CK8:CK22" si="72">ROUND((I8/7330*31),2)</f>
        <v>5142.47</v>
      </c>
      <c r="CL8" s="21">
        <f t="shared" ref="CL8:CL22" si="73">ROUND((I8/7330*30),2)</f>
        <v>4976.58</v>
      </c>
      <c r="CM8" s="21">
        <f t="shared" ref="CM8:CM22" si="74">ROUND((I8/7330*31),2)</f>
        <v>5142.47</v>
      </c>
      <c r="CN8" s="21">
        <f t="shared" si="10"/>
        <v>60714.310000000012</v>
      </c>
      <c r="CO8" s="26">
        <f t="shared" si="11"/>
        <v>668686.81000000006</v>
      </c>
      <c r="CP8" s="21">
        <f t="shared" ref="CP8:CP22" si="75">ROUND((I8/7330*31),2)</f>
        <v>5142.47</v>
      </c>
      <c r="CQ8" s="21">
        <f t="shared" ref="CQ8:CQ22" si="76">ROUND((I8/7330*28),2)</f>
        <v>4644.8100000000004</v>
      </c>
      <c r="CR8" s="21">
        <f t="shared" ref="CR8:CR22" si="77">ROUND((I8/7330*31),2)</f>
        <v>5142.47</v>
      </c>
      <c r="CS8" s="21">
        <f t="shared" ref="CS8:CS22" si="78">ROUND((I8/7330*30),2)</f>
        <v>4976.58</v>
      </c>
      <c r="CT8" s="27">
        <f t="shared" ref="CT8:CT22" si="79">ROUND((I8/7330*31),2)</f>
        <v>5142.47</v>
      </c>
      <c r="CU8" s="21">
        <f t="shared" ref="CU8:CU22" si="80">ROUND((I8/7330*30),2)</f>
        <v>4976.58</v>
      </c>
      <c r="CV8" s="21">
        <f t="shared" ref="CV8:CV23" si="81">ROUND((I8/7330*31),2)</f>
        <v>5142.47</v>
      </c>
      <c r="CW8" s="21">
        <f t="shared" ref="CW8:CW23" si="82">ROUND((I8/7330*31),2)</f>
        <v>5142.47</v>
      </c>
      <c r="CX8" s="21">
        <f t="shared" ref="CX8:CX23" si="83">ROUND((I8/7330*30),2)</f>
        <v>4976.58</v>
      </c>
      <c r="CY8" s="21">
        <f t="shared" ref="CY8:CY23" si="84">ROUND((I8/7330*31),2)</f>
        <v>5142.47</v>
      </c>
      <c r="CZ8" s="21">
        <f t="shared" ref="CZ8:CZ23" si="85">ROUND((I8/7330*30),2)</f>
        <v>4976.58</v>
      </c>
      <c r="DA8" s="21">
        <f t="shared" ref="DA8:DA23" si="86">ROUND((I8/7330*31),2)</f>
        <v>5142.47</v>
      </c>
      <c r="DB8" s="26">
        <f t="shared" si="12"/>
        <v>60548.420000000013</v>
      </c>
      <c r="DC8" s="26">
        <f t="shared" si="13"/>
        <v>729235.23</v>
      </c>
      <c r="DD8" s="21">
        <f t="shared" ref="DD8:DD23" si="87">ROUND((I8/7330*31),2)</f>
        <v>5142.47</v>
      </c>
      <c r="DE8" s="21">
        <f>ROUND((I8/7330*28),2)</f>
        <v>4644.8100000000004</v>
      </c>
      <c r="DF8" s="21">
        <f>ROUND((I8/7330*31),2)</f>
        <v>5142.47</v>
      </c>
      <c r="DG8" s="21">
        <f>ROUND((I8/7330*30),2)</f>
        <v>4976.58</v>
      </c>
      <c r="DH8" s="21">
        <f>ROUND((I8/7330*31),2)</f>
        <v>5142.47</v>
      </c>
      <c r="DI8" s="21">
        <f>ROUND((I8/7330*30),2)</f>
        <v>4976.58</v>
      </c>
      <c r="DJ8" s="26"/>
      <c r="DK8" s="26"/>
      <c r="DL8" s="26"/>
      <c r="DM8" s="26"/>
      <c r="DN8" s="26"/>
      <c r="DO8" s="26"/>
      <c r="DP8" s="26">
        <f>SUM(DD8:DO8)</f>
        <v>30025.380000000005</v>
      </c>
      <c r="DQ8" s="21">
        <f t="shared" ref="DQ8:DQ23" si="88">ROUND((DC8+DD8+DE8+DF8+DG8+DH8+DI8+DJ8+DK8+DL8+DM8+DN8+DO8),2)</f>
        <v>759260.61</v>
      </c>
      <c r="DR8" s="21">
        <f t="shared" ref="DR8:DR23" si="89">SUM(G8-DQ8)</f>
        <v>591789.39</v>
      </c>
    </row>
    <row r="9" spans="2:122" ht="16.5">
      <c r="B9" s="23" t="s">
        <v>50</v>
      </c>
      <c r="C9" s="19" t="s">
        <v>53</v>
      </c>
      <c r="D9" s="24" t="s">
        <v>52</v>
      </c>
      <c r="E9" s="25"/>
      <c r="F9" s="25"/>
      <c r="G9" s="21">
        <v>131874.97</v>
      </c>
      <c r="H9" s="21">
        <f t="shared" si="0"/>
        <v>13187.5</v>
      </c>
      <c r="I9" s="21">
        <f t="shared" si="1"/>
        <v>118687.473</v>
      </c>
      <c r="J9" s="21"/>
      <c r="K9" s="21"/>
      <c r="L9" s="21"/>
      <c r="M9" s="21"/>
      <c r="N9" s="21"/>
      <c r="O9" s="21"/>
      <c r="P9" s="21"/>
      <c r="Q9" s="21">
        <v>6120.57</v>
      </c>
      <c r="R9" s="21">
        <v>5910.07</v>
      </c>
      <c r="S9" s="21">
        <v>5926.26</v>
      </c>
      <c r="T9" s="21">
        <v>5910.07</v>
      </c>
      <c r="U9" s="21">
        <v>5910.07</v>
      </c>
      <c r="V9" s="21">
        <v>5910.07</v>
      </c>
      <c r="W9" s="21">
        <f t="shared" si="14"/>
        <v>35687.11</v>
      </c>
      <c r="X9" s="21">
        <f t="shared" si="15"/>
        <v>501.95</v>
      </c>
      <c r="Y9" s="21">
        <f t="shared" si="16"/>
        <v>469.57</v>
      </c>
      <c r="Z9" s="21">
        <f t="shared" si="17"/>
        <v>501.95</v>
      </c>
      <c r="AA9" s="21">
        <f t="shared" si="18"/>
        <v>485.76</v>
      </c>
      <c r="AB9" s="21">
        <f t="shared" si="19"/>
        <v>501.95</v>
      </c>
      <c r="AC9" s="21">
        <f t="shared" si="20"/>
        <v>485.76</v>
      </c>
      <c r="AD9" s="21">
        <f t="shared" si="21"/>
        <v>501.95</v>
      </c>
      <c r="AE9" s="21">
        <f t="shared" si="22"/>
        <v>501.95</v>
      </c>
      <c r="AF9" s="21">
        <f t="shared" si="23"/>
        <v>485.76</v>
      </c>
      <c r="AG9" s="21">
        <f t="shared" si="24"/>
        <v>501.95</v>
      </c>
      <c r="AH9" s="21">
        <f t="shared" si="25"/>
        <v>485.76</v>
      </c>
      <c r="AI9" s="21">
        <f t="shared" si="26"/>
        <v>501.95</v>
      </c>
      <c r="AJ9" s="21">
        <f t="shared" si="2"/>
        <v>5926.2599999999993</v>
      </c>
      <c r="AK9" s="21">
        <f t="shared" si="3"/>
        <v>41613.370000000003</v>
      </c>
      <c r="AL9" s="21">
        <f t="shared" si="27"/>
        <v>501.95</v>
      </c>
      <c r="AM9" s="21">
        <f t="shared" si="28"/>
        <v>453.38</v>
      </c>
      <c r="AN9" s="21">
        <f t="shared" si="29"/>
        <v>501.95</v>
      </c>
      <c r="AO9" s="21">
        <f t="shared" si="30"/>
        <v>485.76</v>
      </c>
      <c r="AP9" s="21">
        <f t="shared" si="31"/>
        <v>501.95</v>
      </c>
      <c r="AQ9" s="21">
        <f t="shared" si="32"/>
        <v>485.76</v>
      </c>
      <c r="AR9" s="21">
        <f t="shared" si="33"/>
        <v>501.95</v>
      </c>
      <c r="AS9" s="21">
        <f t="shared" si="34"/>
        <v>501.95</v>
      </c>
      <c r="AT9" s="21">
        <f t="shared" si="35"/>
        <v>485.76</v>
      </c>
      <c r="AU9" s="21">
        <f t="shared" si="36"/>
        <v>501.95</v>
      </c>
      <c r="AV9" s="21">
        <f t="shared" si="37"/>
        <v>485.76</v>
      </c>
      <c r="AW9" s="21">
        <f t="shared" si="38"/>
        <v>501.95</v>
      </c>
      <c r="AX9" s="21">
        <f t="shared" si="4"/>
        <v>5910.07</v>
      </c>
      <c r="AY9" s="21">
        <f t="shared" si="5"/>
        <v>47523.44</v>
      </c>
      <c r="AZ9" s="21">
        <f t="shared" si="39"/>
        <v>501.95</v>
      </c>
      <c r="BA9" s="21">
        <f t="shared" si="40"/>
        <v>453.38</v>
      </c>
      <c r="BB9" s="21">
        <f t="shared" si="41"/>
        <v>501.95</v>
      </c>
      <c r="BC9" s="21">
        <f t="shared" si="42"/>
        <v>485.76</v>
      </c>
      <c r="BD9" s="21">
        <f t="shared" si="43"/>
        <v>501.95</v>
      </c>
      <c r="BE9" s="21">
        <f t="shared" si="44"/>
        <v>485.76</v>
      </c>
      <c r="BF9" s="21">
        <f t="shared" si="45"/>
        <v>501.95</v>
      </c>
      <c r="BG9" s="21">
        <f t="shared" si="46"/>
        <v>501.95</v>
      </c>
      <c r="BH9" s="21">
        <f t="shared" si="47"/>
        <v>485.76</v>
      </c>
      <c r="BI9" s="21">
        <f t="shared" si="48"/>
        <v>501.95</v>
      </c>
      <c r="BJ9" s="21">
        <f t="shared" si="49"/>
        <v>485.76</v>
      </c>
      <c r="BK9" s="21">
        <f t="shared" si="50"/>
        <v>501.95</v>
      </c>
      <c r="BL9" s="21">
        <f t="shared" si="6"/>
        <v>5910.07</v>
      </c>
      <c r="BM9" s="21">
        <f t="shared" si="7"/>
        <v>53433.51</v>
      </c>
      <c r="BN9" s="21">
        <f t="shared" si="51"/>
        <v>501.95</v>
      </c>
      <c r="BO9" s="21">
        <f t="shared" si="52"/>
        <v>453.38</v>
      </c>
      <c r="BP9" s="21">
        <f t="shared" si="53"/>
        <v>501.95</v>
      </c>
      <c r="BQ9" s="21">
        <f t="shared" si="54"/>
        <v>485.76</v>
      </c>
      <c r="BR9" s="21">
        <f t="shared" si="55"/>
        <v>501.95</v>
      </c>
      <c r="BS9" s="21">
        <f t="shared" si="56"/>
        <v>485.76</v>
      </c>
      <c r="BT9" s="21">
        <f t="shared" si="57"/>
        <v>501.95</v>
      </c>
      <c r="BU9" s="21">
        <f t="shared" si="58"/>
        <v>501.95</v>
      </c>
      <c r="BV9" s="21">
        <f t="shared" si="59"/>
        <v>485.76</v>
      </c>
      <c r="BW9" s="21">
        <f t="shared" si="60"/>
        <v>501.95</v>
      </c>
      <c r="BX9" s="21">
        <f t="shared" si="61"/>
        <v>485.76</v>
      </c>
      <c r="BY9" s="21">
        <f t="shared" si="62"/>
        <v>501.95</v>
      </c>
      <c r="BZ9" s="21">
        <f t="shared" si="8"/>
        <v>5910.07</v>
      </c>
      <c r="CA9" s="21">
        <f t="shared" si="9"/>
        <v>59343.58</v>
      </c>
      <c r="CB9" s="21">
        <f t="shared" si="63"/>
        <v>501.95</v>
      </c>
      <c r="CC9" s="21">
        <f t="shared" si="64"/>
        <v>469.57</v>
      </c>
      <c r="CD9" s="21">
        <f t="shared" si="65"/>
        <v>501.95</v>
      </c>
      <c r="CE9" s="21">
        <f t="shared" si="66"/>
        <v>485.76</v>
      </c>
      <c r="CF9" s="21">
        <f t="shared" si="67"/>
        <v>501.95</v>
      </c>
      <c r="CG9" s="21">
        <f t="shared" si="68"/>
        <v>485.76</v>
      </c>
      <c r="CH9" s="21">
        <f t="shared" si="69"/>
        <v>501.95</v>
      </c>
      <c r="CI9" s="21">
        <f t="shared" si="70"/>
        <v>501.95</v>
      </c>
      <c r="CJ9" s="21">
        <f t="shared" si="71"/>
        <v>485.76</v>
      </c>
      <c r="CK9" s="21">
        <f t="shared" si="72"/>
        <v>501.95</v>
      </c>
      <c r="CL9" s="21">
        <f t="shared" si="73"/>
        <v>485.76</v>
      </c>
      <c r="CM9" s="21">
        <f t="shared" si="74"/>
        <v>501.95</v>
      </c>
      <c r="CN9" s="21">
        <f t="shared" si="10"/>
        <v>5926.2599999999993</v>
      </c>
      <c r="CO9" s="26">
        <f t="shared" si="11"/>
        <v>65269.84</v>
      </c>
      <c r="CP9" s="21">
        <f t="shared" si="75"/>
        <v>501.95</v>
      </c>
      <c r="CQ9" s="21">
        <f t="shared" si="76"/>
        <v>453.38</v>
      </c>
      <c r="CR9" s="21">
        <f t="shared" si="77"/>
        <v>501.95</v>
      </c>
      <c r="CS9" s="21">
        <f t="shared" si="78"/>
        <v>485.76</v>
      </c>
      <c r="CT9" s="27">
        <f t="shared" si="79"/>
        <v>501.95</v>
      </c>
      <c r="CU9" s="21">
        <f t="shared" si="80"/>
        <v>485.76</v>
      </c>
      <c r="CV9" s="21">
        <f t="shared" si="81"/>
        <v>501.95</v>
      </c>
      <c r="CW9" s="21">
        <f t="shared" si="82"/>
        <v>501.95</v>
      </c>
      <c r="CX9" s="21">
        <f t="shared" si="83"/>
        <v>485.76</v>
      </c>
      <c r="CY9" s="21">
        <f t="shared" si="84"/>
        <v>501.95</v>
      </c>
      <c r="CZ9" s="21">
        <f t="shared" si="85"/>
        <v>485.76</v>
      </c>
      <c r="DA9" s="21">
        <f t="shared" si="86"/>
        <v>501.95</v>
      </c>
      <c r="DB9" s="26">
        <f t="shared" si="12"/>
        <v>5910.07</v>
      </c>
      <c r="DC9" s="26">
        <f t="shared" si="13"/>
        <v>71179.91</v>
      </c>
      <c r="DD9" s="21">
        <f t="shared" si="87"/>
        <v>501.95</v>
      </c>
      <c r="DE9" s="21">
        <f t="shared" ref="DE9:DE23" si="90">ROUND((I9/7330*28),2)</f>
        <v>453.38</v>
      </c>
      <c r="DF9" s="21">
        <f t="shared" ref="DF9:DF23" si="91">ROUND((I9/7330*31),2)</f>
        <v>501.95</v>
      </c>
      <c r="DG9" s="21">
        <f t="shared" ref="DG9:DG23" si="92">ROUND((I9/7330*30),2)</f>
        <v>485.76</v>
      </c>
      <c r="DH9" s="21">
        <f t="shared" ref="DH9:DH23" si="93">ROUND((I9/7330*31),2)</f>
        <v>501.95</v>
      </c>
      <c r="DI9" s="21">
        <f>ROUND((I9/7330*30),2)</f>
        <v>485.76</v>
      </c>
      <c r="DJ9" s="26"/>
      <c r="DK9" s="26"/>
      <c r="DL9" s="26"/>
      <c r="DM9" s="26"/>
      <c r="DN9" s="26"/>
      <c r="DO9" s="26"/>
      <c r="DP9" s="26">
        <f>SUM(DD9:DO9)</f>
        <v>2930.75</v>
      </c>
      <c r="DQ9" s="21">
        <f t="shared" si="88"/>
        <v>74110.66</v>
      </c>
      <c r="DR9" s="21">
        <f t="shared" si="89"/>
        <v>57764.31</v>
      </c>
    </row>
    <row r="10" spans="2:122" ht="16.5">
      <c r="B10" s="23" t="s">
        <v>54</v>
      </c>
      <c r="C10" s="19" t="s">
        <v>55</v>
      </c>
      <c r="D10" s="24" t="s">
        <v>52</v>
      </c>
      <c r="E10" s="25"/>
      <c r="F10" s="25"/>
      <c r="G10" s="21">
        <v>78076.570000000007</v>
      </c>
      <c r="H10" s="21">
        <f t="shared" si="0"/>
        <v>7807.66</v>
      </c>
      <c r="I10" s="21">
        <f t="shared" si="1"/>
        <v>70268.913000000015</v>
      </c>
      <c r="J10" s="21"/>
      <c r="K10" s="21"/>
      <c r="L10" s="21"/>
      <c r="M10" s="21"/>
      <c r="N10" s="21"/>
      <c r="O10" s="21"/>
      <c r="P10" s="21"/>
      <c r="Q10" s="21"/>
      <c r="R10" s="21">
        <v>2866.34</v>
      </c>
      <c r="S10" s="21">
        <v>3508.63</v>
      </c>
      <c r="T10" s="21">
        <v>3499.04</v>
      </c>
      <c r="U10" s="21">
        <v>3499.04</v>
      </c>
      <c r="V10" s="21">
        <v>3499.04</v>
      </c>
      <c r="W10" s="21">
        <f t="shared" si="14"/>
        <v>16872.09</v>
      </c>
      <c r="X10" s="21">
        <f t="shared" si="15"/>
        <v>297.18</v>
      </c>
      <c r="Y10" s="21">
        <f t="shared" si="16"/>
        <v>278.01</v>
      </c>
      <c r="Z10" s="21">
        <f t="shared" si="17"/>
        <v>297.18</v>
      </c>
      <c r="AA10" s="21">
        <f t="shared" si="18"/>
        <v>287.58999999999997</v>
      </c>
      <c r="AB10" s="21">
        <f t="shared" si="19"/>
        <v>297.18</v>
      </c>
      <c r="AC10" s="21">
        <f t="shared" si="20"/>
        <v>287.58999999999997</v>
      </c>
      <c r="AD10" s="21">
        <f t="shared" si="21"/>
        <v>297.18</v>
      </c>
      <c r="AE10" s="21">
        <f t="shared" si="22"/>
        <v>297.18</v>
      </c>
      <c r="AF10" s="21">
        <f t="shared" si="23"/>
        <v>287.58999999999997</v>
      </c>
      <c r="AG10" s="21">
        <f t="shared" si="24"/>
        <v>297.18</v>
      </c>
      <c r="AH10" s="21">
        <f t="shared" si="25"/>
        <v>287.58999999999997</v>
      </c>
      <c r="AI10" s="21">
        <f t="shared" si="26"/>
        <v>297.18</v>
      </c>
      <c r="AJ10" s="21">
        <f t="shared" si="2"/>
        <v>3508.63</v>
      </c>
      <c r="AK10" s="21">
        <f t="shared" si="3"/>
        <v>20380.72</v>
      </c>
      <c r="AL10" s="21">
        <f t="shared" si="27"/>
        <v>297.18</v>
      </c>
      <c r="AM10" s="21">
        <f t="shared" si="28"/>
        <v>268.42</v>
      </c>
      <c r="AN10" s="21">
        <f t="shared" si="29"/>
        <v>297.18</v>
      </c>
      <c r="AO10" s="21">
        <f t="shared" si="30"/>
        <v>287.58999999999997</v>
      </c>
      <c r="AP10" s="21">
        <f t="shared" si="31"/>
        <v>297.18</v>
      </c>
      <c r="AQ10" s="21">
        <f t="shared" si="32"/>
        <v>287.58999999999997</v>
      </c>
      <c r="AR10" s="21">
        <f t="shared" si="33"/>
        <v>297.18</v>
      </c>
      <c r="AS10" s="21">
        <f t="shared" si="34"/>
        <v>297.18</v>
      </c>
      <c r="AT10" s="21">
        <f t="shared" si="35"/>
        <v>287.58999999999997</v>
      </c>
      <c r="AU10" s="21">
        <f t="shared" si="36"/>
        <v>297.18</v>
      </c>
      <c r="AV10" s="21">
        <f t="shared" si="37"/>
        <v>287.58999999999997</v>
      </c>
      <c r="AW10" s="21">
        <f t="shared" si="38"/>
        <v>297.18</v>
      </c>
      <c r="AX10" s="21">
        <f t="shared" si="4"/>
        <v>3499.04</v>
      </c>
      <c r="AY10" s="21">
        <f t="shared" si="5"/>
        <v>23879.759999999998</v>
      </c>
      <c r="AZ10" s="21">
        <f t="shared" si="39"/>
        <v>297.18</v>
      </c>
      <c r="BA10" s="21">
        <f t="shared" si="40"/>
        <v>268.42</v>
      </c>
      <c r="BB10" s="21">
        <f t="shared" si="41"/>
        <v>297.18</v>
      </c>
      <c r="BC10" s="21">
        <f t="shared" si="42"/>
        <v>287.58999999999997</v>
      </c>
      <c r="BD10" s="21">
        <f t="shared" si="43"/>
        <v>297.18</v>
      </c>
      <c r="BE10" s="21">
        <f t="shared" si="44"/>
        <v>287.58999999999997</v>
      </c>
      <c r="BF10" s="21">
        <f t="shared" si="45"/>
        <v>297.18</v>
      </c>
      <c r="BG10" s="21">
        <f t="shared" si="46"/>
        <v>297.18</v>
      </c>
      <c r="BH10" s="21">
        <f t="shared" si="47"/>
        <v>287.58999999999997</v>
      </c>
      <c r="BI10" s="21">
        <f t="shared" si="48"/>
        <v>297.18</v>
      </c>
      <c r="BJ10" s="21">
        <f t="shared" si="49"/>
        <v>287.58999999999997</v>
      </c>
      <c r="BK10" s="21">
        <f t="shared" si="50"/>
        <v>297.18</v>
      </c>
      <c r="BL10" s="21">
        <f t="shared" si="6"/>
        <v>3499.04</v>
      </c>
      <c r="BM10" s="21">
        <f t="shared" si="7"/>
        <v>27378.799999999999</v>
      </c>
      <c r="BN10" s="21">
        <f t="shared" si="51"/>
        <v>297.18</v>
      </c>
      <c r="BO10" s="21">
        <f t="shared" si="52"/>
        <v>268.42</v>
      </c>
      <c r="BP10" s="21">
        <f t="shared" si="53"/>
        <v>297.18</v>
      </c>
      <c r="BQ10" s="21">
        <f t="shared" si="54"/>
        <v>287.58999999999997</v>
      </c>
      <c r="BR10" s="21">
        <f t="shared" si="55"/>
        <v>297.18</v>
      </c>
      <c r="BS10" s="21">
        <f t="shared" si="56"/>
        <v>287.58999999999997</v>
      </c>
      <c r="BT10" s="21">
        <f t="shared" si="57"/>
        <v>297.18</v>
      </c>
      <c r="BU10" s="21">
        <f t="shared" si="58"/>
        <v>297.18</v>
      </c>
      <c r="BV10" s="21">
        <f t="shared" si="59"/>
        <v>287.58999999999997</v>
      </c>
      <c r="BW10" s="21">
        <f t="shared" si="60"/>
        <v>297.18</v>
      </c>
      <c r="BX10" s="21">
        <f t="shared" si="61"/>
        <v>287.58999999999997</v>
      </c>
      <c r="BY10" s="21">
        <f t="shared" si="62"/>
        <v>297.18</v>
      </c>
      <c r="BZ10" s="21">
        <f t="shared" si="8"/>
        <v>3499.04</v>
      </c>
      <c r="CA10" s="21">
        <f t="shared" si="9"/>
        <v>30877.84</v>
      </c>
      <c r="CB10" s="21">
        <f t="shared" si="63"/>
        <v>297.18</v>
      </c>
      <c r="CC10" s="21">
        <f t="shared" si="64"/>
        <v>278.01</v>
      </c>
      <c r="CD10" s="21">
        <f t="shared" si="65"/>
        <v>297.18</v>
      </c>
      <c r="CE10" s="21">
        <f t="shared" si="66"/>
        <v>287.58999999999997</v>
      </c>
      <c r="CF10" s="21">
        <f t="shared" si="67"/>
        <v>297.18</v>
      </c>
      <c r="CG10" s="21">
        <f t="shared" si="68"/>
        <v>287.58999999999997</v>
      </c>
      <c r="CH10" s="21">
        <f t="shared" si="69"/>
        <v>297.18</v>
      </c>
      <c r="CI10" s="21">
        <f t="shared" si="70"/>
        <v>297.18</v>
      </c>
      <c r="CJ10" s="21">
        <f t="shared" si="71"/>
        <v>287.58999999999997</v>
      </c>
      <c r="CK10" s="21">
        <f t="shared" si="72"/>
        <v>297.18</v>
      </c>
      <c r="CL10" s="21">
        <f t="shared" si="73"/>
        <v>287.58999999999997</v>
      </c>
      <c r="CM10" s="21">
        <f t="shared" si="74"/>
        <v>297.18</v>
      </c>
      <c r="CN10" s="21">
        <f t="shared" si="10"/>
        <v>3508.63</v>
      </c>
      <c r="CO10" s="26">
        <f t="shared" si="11"/>
        <v>34386.47</v>
      </c>
      <c r="CP10" s="21">
        <f t="shared" si="75"/>
        <v>297.18</v>
      </c>
      <c r="CQ10" s="21">
        <f t="shared" si="76"/>
        <v>268.42</v>
      </c>
      <c r="CR10" s="21">
        <f t="shared" si="77"/>
        <v>297.18</v>
      </c>
      <c r="CS10" s="21">
        <f t="shared" si="78"/>
        <v>287.58999999999997</v>
      </c>
      <c r="CT10" s="27">
        <f t="shared" si="79"/>
        <v>297.18</v>
      </c>
      <c r="CU10" s="21">
        <f t="shared" si="80"/>
        <v>287.58999999999997</v>
      </c>
      <c r="CV10" s="21">
        <f t="shared" si="81"/>
        <v>297.18</v>
      </c>
      <c r="CW10" s="21">
        <f t="shared" si="82"/>
        <v>297.18</v>
      </c>
      <c r="CX10" s="21">
        <f t="shared" si="83"/>
        <v>287.58999999999997</v>
      </c>
      <c r="CY10" s="21">
        <f t="shared" si="84"/>
        <v>297.18</v>
      </c>
      <c r="CZ10" s="21">
        <f t="shared" si="85"/>
        <v>287.58999999999997</v>
      </c>
      <c r="DA10" s="21">
        <f t="shared" si="86"/>
        <v>297.18</v>
      </c>
      <c r="DB10" s="26">
        <f t="shared" si="12"/>
        <v>3499.04</v>
      </c>
      <c r="DC10" s="26">
        <f t="shared" si="13"/>
        <v>37885.51</v>
      </c>
      <c r="DD10" s="21">
        <f t="shared" si="87"/>
        <v>297.18</v>
      </c>
      <c r="DE10" s="21">
        <f>ROUND((I10/7330*28),2)</f>
        <v>268.42</v>
      </c>
      <c r="DF10" s="21">
        <f>ROUND((I10/7330*31),2)</f>
        <v>297.18</v>
      </c>
      <c r="DG10" s="21">
        <f>ROUND((I10/7330*30),2)</f>
        <v>287.58999999999997</v>
      </c>
      <c r="DH10" s="21">
        <f t="shared" si="93"/>
        <v>297.18</v>
      </c>
      <c r="DI10" s="21">
        <f t="shared" ref="DI10:DI23" si="94">ROUND((I10/7330*30),2)</f>
        <v>287.58999999999997</v>
      </c>
      <c r="DJ10" s="26"/>
      <c r="DK10" s="26"/>
      <c r="DL10" s="26"/>
      <c r="DM10" s="26"/>
      <c r="DN10" s="26"/>
      <c r="DO10" s="26"/>
      <c r="DP10" s="26">
        <f t="shared" ref="DP10:DP23" si="95">SUM(DD10:DO10)</f>
        <v>1735.1399999999999</v>
      </c>
      <c r="DQ10" s="21">
        <f t="shared" si="88"/>
        <v>39620.65</v>
      </c>
      <c r="DR10" s="21">
        <f t="shared" si="89"/>
        <v>38455.920000000006</v>
      </c>
    </row>
    <row r="11" spans="2:122" ht="16.5">
      <c r="B11" s="23" t="s">
        <v>54</v>
      </c>
      <c r="C11" s="19" t="s">
        <v>55</v>
      </c>
      <c r="D11" s="24" t="s">
        <v>52</v>
      </c>
      <c r="E11" s="25"/>
      <c r="F11" s="25"/>
      <c r="G11" s="21">
        <v>3390</v>
      </c>
      <c r="H11" s="21">
        <f t="shared" si="0"/>
        <v>339</v>
      </c>
      <c r="I11" s="21">
        <f t="shared" si="1"/>
        <v>3051</v>
      </c>
      <c r="J11" s="21"/>
      <c r="K11" s="21"/>
      <c r="L11" s="21"/>
      <c r="M11" s="21"/>
      <c r="N11" s="21"/>
      <c r="O11" s="21"/>
      <c r="P11" s="21"/>
      <c r="Q11" s="21"/>
      <c r="R11" s="21">
        <v>124.45</v>
      </c>
      <c r="S11" s="21">
        <v>152.33000000000001</v>
      </c>
      <c r="T11" s="21">
        <v>151.91</v>
      </c>
      <c r="U11" s="21">
        <v>151.91</v>
      </c>
      <c r="V11" s="21">
        <v>151.91</v>
      </c>
      <c r="W11" s="21">
        <f t="shared" si="14"/>
        <v>732.51</v>
      </c>
      <c r="X11" s="21">
        <f t="shared" si="15"/>
        <v>12.9</v>
      </c>
      <c r="Y11" s="21">
        <f t="shared" si="16"/>
        <v>12.07</v>
      </c>
      <c r="Z11" s="21">
        <f t="shared" si="17"/>
        <v>12.9</v>
      </c>
      <c r="AA11" s="21">
        <f t="shared" si="18"/>
        <v>12.49</v>
      </c>
      <c r="AB11" s="21">
        <f t="shared" si="19"/>
        <v>12.9</v>
      </c>
      <c r="AC11" s="21">
        <f t="shared" si="20"/>
        <v>12.49</v>
      </c>
      <c r="AD11" s="21">
        <f t="shared" si="21"/>
        <v>12.9</v>
      </c>
      <c r="AE11" s="21">
        <f t="shared" si="22"/>
        <v>12.9</v>
      </c>
      <c r="AF11" s="21">
        <f t="shared" si="23"/>
        <v>12.49</v>
      </c>
      <c r="AG11" s="21">
        <f t="shared" si="24"/>
        <v>12.9</v>
      </c>
      <c r="AH11" s="21">
        <f t="shared" si="25"/>
        <v>12.49</v>
      </c>
      <c r="AI11" s="21">
        <f t="shared" si="26"/>
        <v>12.9</v>
      </c>
      <c r="AJ11" s="21">
        <f t="shared" si="2"/>
        <v>152.33000000000001</v>
      </c>
      <c r="AK11" s="21">
        <f t="shared" si="3"/>
        <v>884.84</v>
      </c>
      <c r="AL11" s="21">
        <f t="shared" si="27"/>
        <v>12.9</v>
      </c>
      <c r="AM11" s="21">
        <f t="shared" si="28"/>
        <v>11.65</v>
      </c>
      <c r="AN11" s="21">
        <f t="shared" si="29"/>
        <v>12.9</v>
      </c>
      <c r="AO11" s="21">
        <f t="shared" si="30"/>
        <v>12.49</v>
      </c>
      <c r="AP11" s="21">
        <f t="shared" si="31"/>
        <v>12.9</v>
      </c>
      <c r="AQ11" s="21">
        <f t="shared" si="32"/>
        <v>12.49</v>
      </c>
      <c r="AR11" s="21">
        <f t="shared" si="33"/>
        <v>12.9</v>
      </c>
      <c r="AS11" s="21">
        <f t="shared" si="34"/>
        <v>12.9</v>
      </c>
      <c r="AT11" s="21">
        <f t="shared" si="35"/>
        <v>12.49</v>
      </c>
      <c r="AU11" s="21">
        <f t="shared" si="36"/>
        <v>12.9</v>
      </c>
      <c r="AV11" s="21">
        <f t="shared" si="37"/>
        <v>12.49</v>
      </c>
      <c r="AW11" s="21">
        <f t="shared" si="38"/>
        <v>12.9</v>
      </c>
      <c r="AX11" s="21">
        <f t="shared" si="4"/>
        <v>151.91000000000003</v>
      </c>
      <c r="AY11" s="21">
        <f t="shared" si="5"/>
        <v>1036.75</v>
      </c>
      <c r="AZ11" s="21">
        <f t="shared" si="39"/>
        <v>12.9</v>
      </c>
      <c r="BA11" s="21">
        <f t="shared" si="40"/>
        <v>11.65</v>
      </c>
      <c r="BB11" s="21">
        <f t="shared" si="41"/>
        <v>12.9</v>
      </c>
      <c r="BC11" s="21">
        <f t="shared" si="42"/>
        <v>12.49</v>
      </c>
      <c r="BD11" s="21">
        <f t="shared" si="43"/>
        <v>12.9</v>
      </c>
      <c r="BE11" s="21">
        <f t="shared" si="44"/>
        <v>12.49</v>
      </c>
      <c r="BF11" s="21">
        <f t="shared" si="45"/>
        <v>12.9</v>
      </c>
      <c r="BG11" s="21">
        <f t="shared" si="46"/>
        <v>12.9</v>
      </c>
      <c r="BH11" s="21">
        <f t="shared" si="47"/>
        <v>12.49</v>
      </c>
      <c r="BI11" s="21">
        <f t="shared" si="48"/>
        <v>12.9</v>
      </c>
      <c r="BJ11" s="21">
        <f t="shared" si="49"/>
        <v>12.49</v>
      </c>
      <c r="BK11" s="21">
        <f t="shared" si="50"/>
        <v>12.9</v>
      </c>
      <c r="BL11" s="21">
        <f t="shared" si="6"/>
        <v>151.91000000000003</v>
      </c>
      <c r="BM11" s="21">
        <f t="shared" si="7"/>
        <v>1188.6600000000001</v>
      </c>
      <c r="BN11" s="21">
        <f t="shared" si="51"/>
        <v>12.9</v>
      </c>
      <c r="BO11" s="21">
        <f t="shared" si="52"/>
        <v>11.65</v>
      </c>
      <c r="BP11" s="21">
        <f t="shared" si="53"/>
        <v>12.9</v>
      </c>
      <c r="BQ11" s="21">
        <f t="shared" si="54"/>
        <v>12.49</v>
      </c>
      <c r="BR11" s="21">
        <f t="shared" si="55"/>
        <v>12.9</v>
      </c>
      <c r="BS11" s="21">
        <f t="shared" si="56"/>
        <v>12.49</v>
      </c>
      <c r="BT11" s="21">
        <f t="shared" si="57"/>
        <v>12.9</v>
      </c>
      <c r="BU11" s="21">
        <f t="shared" si="58"/>
        <v>12.9</v>
      </c>
      <c r="BV11" s="21">
        <f t="shared" si="59"/>
        <v>12.49</v>
      </c>
      <c r="BW11" s="21">
        <f t="shared" si="60"/>
        <v>12.9</v>
      </c>
      <c r="BX11" s="21">
        <f t="shared" si="61"/>
        <v>12.49</v>
      </c>
      <c r="BY11" s="21">
        <f t="shared" si="62"/>
        <v>12.9</v>
      </c>
      <c r="BZ11" s="21">
        <f t="shared" si="8"/>
        <v>151.91000000000003</v>
      </c>
      <c r="CA11" s="21">
        <f t="shared" si="9"/>
        <v>1340.57</v>
      </c>
      <c r="CB11" s="21">
        <f t="shared" si="63"/>
        <v>12.9</v>
      </c>
      <c r="CC11" s="21">
        <f t="shared" si="64"/>
        <v>12.07</v>
      </c>
      <c r="CD11" s="21">
        <f t="shared" si="65"/>
        <v>12.9</v>
      </c>
      <c r="CE11" s="21">
        <f t="shared" si="66"/>
        <v>12.49</v>
      </c>
      <c r="CF11" s="21">
        <f t="shared" si="67"/>
        <v>12.9</v>
      </c>
      <c r="CG11" s="21">
        <f t="shared" si="68"/>
        <v>12.49</v>
      </c>
      <c r="CH11" s="21">
        <f t="shared" si="69"/>
        <v>12.9</v>
      </c>
      <c r="CI11" s="21">
        <f t="shared" si="70"/>
        <v>12.9</v>
      </c>
      <c r="CJ11" s="21">
        <f t="shared" si="71"/>
        <v>12.49</v>
      </c>
      <c r="CK11" s="21">
        <f t="shared" si="72"/>
        <v>12.9</v>
      </c>
      <c r="CL11" s="21">
        <f t="shared" si="73"/>
        <v>12.49</v>
      </c>
      <c r="CM11" s="21">
        <f t="shared" si="74"/>
        <v>12.9</v>
      </c>
      <c r="CN11" s="21">
        <f t="shared" si="10"/>
        <v>152.33000000000001</v>
      </c>
      <c r="CO11" s="26">
        <f t="shared" si="11"/>
        <v>1492.9</v>
      </c>
      <c r="CP11" s="21">
        <f t="shared" si="75"/>
        <v>12.9</v>
      </c>
      <c r="CQ11" s="21">
        <f t="shared" si="76"/>
        <v>11.65</v>
      </c>
      <c r="CR11" s="21">
        <f t="shared" si="77"/>
        <v>12.9</v>
      </c>
      <c r="CS11" s="21">
        <f t="shared" si="78"/>
        <v>12.49</v>
      </c>
      <c r="CT11" s="27">
        <f t="shared" si="79"/>
        <v>12.9</v>
      </c>
      <c r="CU11" s="21">
        <f t="shared" si="80"/>
        <v>12.49</v>
      </c>
      <c r="CV11" s="21">
        <f t="shared" si="81"/>
        <v>12.9</v>
      </c>
      <c r="CW11" s="21">
        <f t="shared" si="82"/>
        <v>12.9</v>
      </c>
      <c r="CX11" s="21">
        <f t="shared" si="83"/>
        <v>12.49</v>
      </c>
      <c r="CY11" s="21">
        <f t="shared" si="84"/>
        <v>12.9</v>
      </c>
      <c r="CZ11" s="21">
        <f t="shared" si="85"/>
        <v>12.49</v>
      </c>
      <c r="DA11" s="21">
        <f t="shared" si="86"/>
        <v>12.9</v>
      </c>
      <c r="DB11" s="26">
        <f t="shared" si="12"/>
        <v>151.91000000000003</v>
      </c>
      <c r="DC11" s="26">
        <f t="shared" si="13"/>
        <v>1644.81</v>
      </c>
      <c r="DD11" s="21">
        <f t="shared" si="87"/>
        <v>12.9</v>
      </c>
      <c r="DE11" s="21">
        <f>ROUND((I11/7330*28),2)</f>
        <v>11.65</v>
      </c>
      <c r="DF11" s="21">
        <f>ROUND((I11/7330*31),2)</f>
        <v>12.9</v>
      </c>
      <c r="DG11" s="21">
        <f t="shared" si="92"/>
        <v>12.49</v>
      </c>
      <c r="DH11" s="21">
        <f t="shared" si="93"/>
        <v>12.9</v>
      </c>
      <c r="DI11" s="21">
        <f t="shared" si="94"/>
        <v>12.49</v>
      </c>
      <c r="DJ11" s="26"/>
      <c r="DK11" s="26"/>
      <c r="DL11" s="26"/>
      <c r="DM11" s="26"/>
      <c r="DN11" s="26"/>
      <c r="DO11" s="26"/>
      <c r="DP11" s="26">
        <f t="shared" si="95"/>
        <v>75.33</v>
      </c>
      <c r="DQ11" s="21">
        <f t="shared" si="88"/>
        <v>1720.14</v>
      </c>
      <c r="DR11" s="21">
        <f t="shared" si="89"/>
        <v>1669.86</v>
      </c>
    </row>
    <row r="12" spans="2:122" ht="8.25">
      <c r="B12" s="23" t="s">
        <v>56</v>
      </c>
      <c r="C12" s="19" t="s">
        <v>57</v>
      </c>
      <c r="D12" s="24" t="s">
        <v>58</v>
      </c>
      <c r="E12" s="25"/>
      <c r="F12" s="25"/>
      <c r="G12" s="21">
        <v>1632.23</v>
      </c>
      <c r="H12" s="21">
        <f t="shared" si="0"/>
        <v>163.22</v>
      </c>
      <c r="I12" s="21">
        <f t="shared" si="1"/>
        <v>1469.0070000000001</v>
      </c>
      <c r="J12" s="21"/>
      <c r="K12" s="21"/>
      <c r="L12" s="21"/>
      <c r="M12" s="21"/>
      <c r="N12" s="21"/>
      <c r="O12" s="21"/>
      <c r="P12" s="21"/>
      <c r="Q12" s="21"/>
      <c r="R12" s="21"/>
      <c r="S12" s="21">
        <v>66.11</v>
      </c>
      <c r="T12" s="21">
        <v>73.12</v>
      </c>
      <c r="U12" s="21">
        <v>73.12</v>
      </c>
      <c r="V12" s="21">
        <v>73.12</v>
      </c>
      <c r="W12" s="21">
        <f t="shared" si="14"/>
        <v>285.47000000000003</v>
      </c>
      <c r="X12" s="21">
        <f t="shared" si="15"/>
        <v>6.21</v>
      </c>
      <c r="Y12" s="21">
        <f t="shared" si="16"/>
        <v>5.81</v>
      </c>
      <c r="Z12" s="21">
        <f t="shared" si="17"/>
        <v>6.21</v>
      </c>
      <c r="AA12" s="21">
        <f t="shared" si="18"/>
        <v>6.01</v>
      </c>
      <c r="AB12" s="21">
        <f t="shared" si="19"/>
        <v>6.21</v>
      </c>
      <c r="AC12" s="21">
        <f t="shared" si="20"/>
        <v>6.01</v>
      </c>
      <c r="AD12" s="21">
        <f t="shared" si="21"/>
        <v>6.21</v>
      </c>
      <c r="AE12" s="21">
        <f t="shared" si="22"/>
        <v>6.21</v>
      </c>
      <c r="AF12" s="21">
        <f t="shared" si="23"/>
        <v>6.01</v>
      </c>
      <c r="AG12" s="21">
        <f t="shared" si="24"/>
        <v>6.21</v>
      </c>
      <c r="AH12" s="21">
        <f t="shared" si="25"/>
        <v>6.01</v>
      </c>
      <c r="AI12" s="21">
        <f t="shared" si="26"/>
        <v>6.21</v>
      </c>
      <c r="AJ12" s="21">
        <f t="shared" si="2"/>
        <v>73.319999999999993</v>
      </c>
      <c r="AK12" s="21">
        <f t="shared" si="3"/>
        <v>358.79</v>
      </c>
      <c r="AL12" s="21">
        <f t="shared" si="27"/>
        <v>6.21</v>
      </c>
      <c r="AM12" s="21">
        <f t="shared" si="28"/>
        <v>5.61</v>
      </c>
      <c r="AN12" s="21">
        <f t="shared" si="29"/>
        <v>6.21</v>
      </c>
      <c r="AO12" s="21">
        <f t="shared" si="30"/>
        <v>6.01</v>
      </c>
      <c r="AP12" s="21">
        <f t="shared" si="31"/>
        <v>6.21</v>
      </c>
      <c r="AQ12" s="21">
        <f t="shared" si="32"/>
        <v>6.01</v>
      </c>
      <c r="AR12" s="21">
        <f t="shared" si="33"/>
        <v>6.21</v>
      </c>
      <c r="AS12" s="21">
        <f t="shared" si="34"/>
        <v>6.21</v>
      </c>
      <c r="AT12" s="21">
        <f t="shared" si="35"/>
        <v>6.01</v>
      </c>
      <c r="AU12" s="21">
        <f t="shared" si="36"/>
        <v>6.21</v>
      </c>
      <c r="AV12" s="21">
        <f t="shared" si="37"/>
        <v>6.01</v>
      </c>
      <c r="AW12" s="21">
        <f t="shared" si="38"/>
        <v>6.21</v>
      </c>
      <c r="AX12" s="21">
        <f t="shared" si="4"/>
        <v>73.11999999999999</v>
      </c>
      <c r="AY12" s="21">
        <f t="shared" si="5"/>
        <v>431.91</v>
      </c>
      <c r="AZ12" s="21">
        <f t="shared" si="39"/>
        <v>6.21</v>
      </c>
      <c r="BA12" s="21">
        <f t="shared" si="40"/>
        <v>5.61</v>
      </c>
      <c r="BB12" s="21">
        <f t="shared" si="41"/>
        <v>6.21</v>
      </c>
      <c r="BC12" s="21">
        <f t="shared" si="42"/>
        <v>6.01</v>
      </c>
      <c r="BD12" s="21">
        <f t="shared" si="43"/>
        <v>6.21</v>
      </c>
      <c r="BE12" s="21">
        <f t="shared" si="44"/>
        <v>6.01</v>
      </c>
      <c r="BF12" s="21">
        <f t="shared" si="45"/>
        <v>6.21</v>
      </c>
      <c r="BG12" s="21">
        <f t="shared" si="46"/>
        <v>6.21</v>
      </c>
      <c r="BH12" s="21">
        <f t="shared" si="47"/>
        <v>6.01</v>
      </c>
      <c r="BI12" s="21">
        <f t="shared" si="48"/>
        <v>6.21</v>
      </c>
      <c r="BJ12" s="21">
        <f t="shared" si="49"/>
        <v>6.01</v>
      </c>
      <c r="BK12" s="21">
        <f t="shared" si="50"/>
        <v>6.21</v>
      </c>
      <c r="BL12" s="21">
        <f t="shared" si="6"/>
        <v>73.11999999999999</v>
      </c>
      <c r="BM12" s="21">
        <f t="shared" si="7"/>
        <v>505.03</v>
      </c>
      <c r="BN12" s="21">
        <f t="shared" si="51"/>
        <v>6.21</v>
      </c>
      <c r="BO12" s="21">
        <f t="shared" si="52"/>
        <v>5.61</v>
      </c>
      <c r="BP12" s="21">
        <f t="shared" si="53"/>
        <v>6.21</v>
      </c>
      <c r="BQ12" s="21">
        <f t="shared" si="54"/>
        <v>6.01</v>
      </c>
      <c r="BR12" s="21">
        <f t="shared" si="55"/>
        <v>6.21</v>
      </c>
      <c r="BS12" s="21">
        <f t="shared" si="56"/>
        <v>6.01</v>
      </c>
      <c r="BT12" s="21">
        <f t="shared" si="57"/>
        <v>6.21</v>
      </c>
      <c r="BU12" s="21">
        <f t="shared" si="58"/>
        <v>6.21</v>
      </c>
      <c r="BV12" s="21">
        <f t="shared" si="59"/>
        <v>6.01</v>
      </c>
      <c r="BW12" s="21">
        <f t="shared" si="60"/>
        <v>6.21</v>
      </c>
      <c r="BX12" s="21">
        <f t="shared" si="61"/>
        <v>6.01</v>
      </c>
      <c r="BY12" s="21">
        <f t="shared" si="62"/>
        <v>6.21</v>
      </c>
      <c r="BZ12" s="21">
        <f t="shared" si="8"/>
        <v>73.11999999999999</v>
      </c>
      <c r="CA12" s="21">
        <f t="shared" si="9"/>
        <v>578.15</v>
      </c>
      <c r="CB12" s="21">
        <f t="shared" si="63"/>
        <v>6.21</v>
      </c>
      <c r="CC12" s="21">
        <f t="shared" si="64"/>
        <v>5.81</v>
      </c>
      <c r="CD12" s="21">
        <f t="shared" si="65"/>
        <v>6.21</v>
      </c>
      <c r="CE12" s="21">
        <f t="shared" si="66"/>
        <v>6.01</v>
      </c>
      <c r="CF12" s="21">
        <f t="shared" si="67"/>
        <v>6.21</v>
      </c>
      <c r="CG12" s="21">
        <f t="shared" si="68"/>
        <v>6.01</v>
      </c>
      <c r="CH12" s="21">
        <f t="shared" si="69"/>
        <v>6.21</v>
      </c>
      <c r="CI12" s="21">
        <f t="shared" si="70"/>
        <v>6.21</v>
      </c>
      <c r="CJ12" s="21">
        <f t="shared" si="71"/>
        <v>6.01</v>
      </c>
      <c r="CK12" s="21">
        <f t="shared" si="72"/>
        <v>6.21</v>
      </c>
      <c r="CL12" s="21">
        <f t="shared" si="73"/>
        <v>6.01</v>
      </c>
      <c r="CM12" s="21">
        <f t="shared" si="74"/>
        <v>6.21</v>
      </c>
      <c r="CN12" s="21">
        <f t="shared" si="10"/>
        <v>73.319999999999993</v>
      </c>
      <c r="CO12" s="26">
        <f t="shared" si="11"/>
        <v>651.47</v>
      </c>
      <c r="CP12" s="21">
        <f t="shared" si="75"/>
        <v>6.21</v>
      </c>
      <c r="CQ12" s="21">
        <f t="shared" si="76"/>
        <v>5.61</v>
      </c>
      <c r="CR12" s="21">
        <f t="shared" si="77"/>
        <v>6.21</v>
      </c>
      <c r="CS12" s="21">
        <f t="shared" si="78"/>
        <v>6.01</v>
      </c>
      <c r="CT12" s="27">
        <f t="shared" si="79"/>
        <v>6.21</v>
      </c>
      <c r="CU12" s="21">
        <f t="shared" si="80"/>
        <v>6.01</v>
      </c>
      <c r="CV12" s="21">
        <f t="shared" si="81"/>
        <v>6.21</v>
      </c>
      <c r="CW12" s="21">
        <f t="shared" si="82"/>
        <v>6.21</v>
      </c>
      <c r="CX12" s="21">
        <f t="shared" si="83"/>
        <v>6.01</v>
      </c>
      <c r="CY12" s="21">
        <f t="shared" si="84"/>
        <v>6.21</v>
      </c>
      <c r="CZ12" s="21">
        <f t="shared" si="85"/>
        <v>6.01</v>
      </c>
      <c r="DA12" s="21">
        <f t="shared" si="86"/>
        <v>6.21</v>
      </c>
      <c r="DB12" s="26">
        <f t="shared" si="12"/>
        <v>73.11999999999999</v>
      </c>
      <c r="DC12" s="26">
        <f t="shared" si="13"/>
        <v>724.59</v>
      </c>
      <c r="DD12" s="21">
        <f t="shared" si="87"/>
        <v>6.21</v>
      </c>
      <c r="DE12" s="21">
        <f t="shared" si="90"/>
        <v>5.61</v>
      </c>
      <c r="DF12" s="21">
        <f t="shared" si="91"/>
        <v>6.21</v>
      </c>
      <c r="DG12" s="21">
        <f t="shared" si="92"/>
        <v>6.01</v>
      </c>
      <c r="DH12" s="21">
        <f t="shared" si="93"/>
        <v>6.21</v>
      </c>
      <c r="DI12" s="21">
        <f t="shared" si="94"/>
        <v>6.01</v>
      </c>
      <c r="DJ12" s="26"/>
      <c r="DK12" s="26"/>
      <c r="DL12" s="26"/>
      <c r="DM12" s="26"/>
      <c r="DN12" s="26"/>
      <c r="DO12" s="26"/>
      <c r="DP12" s="26">
        <f>SUM(DD12:DO12)</f>
        <v>36.26</v>
      </c>
      <c r="DQ12" s="21">
        <f t="shared" si="88"/>
        <v>760.85</v>
      </c>
      <c r="DR12" s="21">
        <f t="shared" si="89"/>
        <v>871.38</v>
      </c>
    </row>
    <row r="13" spans="2:122" ht="8.25">
      <c r="B13" s="23" t="s">
        <v>59</v>
      </c>
      <c r="C13" s="19" t="s">
        <v>60</v>
      </c>
      <c r="D13" s="24" t="s">
        <v>61</v>
      </c>
      <c r="E13" s="25"/>
      <c r="F13" s="25"/>
      <c r="G13" s="21">
        <v>1080</v>
      </c>
      <c r="H13" s="21">
        <f t="shared" si="0"/>
        <v>108</v>
      </c>
      <c r="I13" s="21">
        <f t="shared" si="1"/>
        <v>972</v>
      </c>
      <c r="J13" s="21"/>
      <c r="K13" s="21"/>
      <c r="L13" s="21"/>
      <c r="M13" s="21"/>
      <c r="N13" s="21"/>
      <c r="O13" s="21"/>
      <c r="P13" s="21"/>
      <c r="Q13" s="21"/>
      <c r="R13" s="21"/>
      <c r="S13" s="21">
        <v>40.85</v>
      </c>
      <c r="T13" s="21">
        <v>48.4</v>
      </c>
      <c r="U13" s="21">
        <v>48.4</v>
      </c>
      <c r="V13" s="21">
        <v>48.4</v>
      </c>
      <c r="W13" s="21">
        <f t="shared" si="14"/>
        <v>186.05</v>
      </c>
      <c r="X13" s="21">
        <f t="shared" si="15"/>
        <v>4.1100000000000003</v>
      </c>
      <c r="Y13" s="21">
        <f t="shared" si="16"/>
        <v>3.85</v>
      </c>
      <c r="Z13" s="21">
        <f t="shared" si="17"/>
        <v>4.1100000000000003</v>
      </c>
      <c r="AA13" s="21">
        <f t="shared" si="18"/>
        <v>3.98</v>
      </c>
      <c r="AB13" s="21">
        <f t="shared" si="19"/>
        <v>4.1100000000000003</v>
      </c>
      <c r="AC13" s="21">
        <f t="shared" si="20"/>
        <v>3.98</v>
      </c>
      <c r="AD13" s="21">
        <f t="shared" si="21"/>
        <v>4.1100000000000003</v>
      </c>
      <c r="AE13" s="21">
        <f t="shared" si="22"/>
        <v>4.1100000000000003</v>
      </c>
      <c r="AF13" s="21">
        <f t="shared" si="23"/>
        <v>3.98</v>
      </c>
      <c r="AG13" s="21">
        <f t="shared" si="24"/>
        <v>4.1100000000000003</v>
      </c>
      <c r="AH13" s="21">
        <f t="shared" si="25"/>
        <v>3.98</v>
      </c>
      <c r="AI13" s="21">
        <f t="shared" si="26"/>
        <v>4.1100000000000003</v>
      </c>
      <c r="AJ13" s="21">
        <f t="shared" si="2"/>
        <v>48.539999999999992</v>
      </c>
      <c r="AK13" s="21">
        <f t="shared" si="3"/>
        <v>234.59</v>
      </c>
      <c r="AL13" s="21">
        <f t="shared" si="27"/>
        <v>4.1100000000000003</v>
      </c>
      <c r="AM13" s="21">
        <f t="shared" si="28"/>
        <v>3.71</v>
      </c>
      <c r="AN13" s="21">
        <f t="shared" si="29"/>
        <v>4.1100000000000003</v>
      </c>
      <c r="AO13" s="21">
        <f t="shared" si="30"/>
        <v>3.98</v>
      </c>
      <c r="AP13" s="21">
        <f t="shared" si="31"/>
        <v>4.1100000000000003</v>
      </c>
      <c r="AQ13" s="21">
        <f t="shared" si="32"/>
        <v>3.98</v>
      </c>
      <c r="AR13" s="21">
        <f t="shared" si="33"/>
        <v>4.1100000000000003</v>
      </c>
      <c r="AS13" s="21">
        <f t="shared" si="34"/>
        <v>4.1100000000000003</v>
      </c>
      <c r="AT13" s="21">
        <f t="shared" si="35"/>
        <v>3.98</v>
      </c>
      <c r="AU13" s="21">
        <f t="shared" si="36"/>
        <v>4.1100000000000003</v>
      </c>
      <c r="AV13" s="21">
        <f t="shared" si="37"/>
        <v>3.98</v>
      </c>
      <c r="AW13" s="21">
        <f t="shared" si="38"/>
        <v>4.1100000000000003</v>
      </c>
      <c r="AX13" s="21">
        <f t="shared" si="4"/>
        <v>48.399999999999991</v>
      </c>
      <c r="AY13" s="21">
        <f t="shared" si="5"/>
        <v>282.99</v>
      </c>
      <c r="AZ13" s="21">
        <f t="shared" si="39"/>
        <v>4.1100000000000003</v>
      </c>
      <c r="BA13" s="21">
        <f t="shared" si="40"/>
        <v>3.71</v>
      </c>
      <c r="BB13" s="21">
        <f t="shared" si="41"/>
        <v>4.1100000000000003</v>
      </c>
      <c r="BC13" s="21">
        <f t="shared" si="42"/>
        <v>3.98</v>
      </c>
      <c r="BD13" s="21">
        <f t="shared" si="43"/>
        <v>4.1100000000000003</v>
      </c>
      <c r="BE13" s="21">
        <f t="shared" si="44"/>
        <v>3.98</v>
      </c>
      <c r="BF13" s="21">
        <f t="shared" si="45"/>
        <v>4.1100000000000003</v>
      </c>
      <c r="BG13" s="21">
        <f t="shared" si="46"/>
        <v>4.1100000000000003</v>
      </c>
      <c r="BH13" s="21">
        <f t="shared" si="47"/>
        <v>3.98</v>
      </c>
      <c r="BI13" s="21">
        <f t="shared" si="48"/>
        <v>4.1100000000000003</v>
      </c>
      <c r="BJ13" s="21">
        <f t="shared" si="49"/>
        <v>3.98</v>
      </c>
      <c r="BK13" s="21">
        <f t="shared" si="50"/>
        <v>4.1100000000000003</v>
      </c>
      <c r="BL13" s="21">
        <f t="shared" si="6"/>
        <v>48.399999999999991</v>
      </c>
      <c r="BM13" s="21">
        <f t="shared" si="7"/>
        <v>331.39</v>
      </c>
      <c r="BN13" s="21">
        <f t="shared" si="51"/>
        <v>4.1100000000000003</v>
      </c>
      <c r="BO13" s="21">
        <f t="shared" si="52"/>
        <v>3.71</v>
      </c>
      <c r="BP13" s="21">
        <f t="shared" si="53"/>
        <v>4.1100000000000003</v>
      </c>
      <c r="BQ13" s="21">
        <f t="shared" si="54"/>
        <v>3.98</v>
      </c>
      <c r="BR13" s="21">
        <f t="shared" si="55"/>
        <v>4.1100000000000003</v>
      </c>
      <c r="BS13" s="21">
        <f t="shared" si="56"/>
        <v>3.98</v>
      </c>
      <c r="BT13" s="21">
        <f t="shared" si="57"/>
        <v>4.1100000000000003</v>
      </c>
      <c r="BU13" s="21">
        <f t="shared" si="58"/>
        <v>4.1100000000000003</v>
      </c>
      <c r="BV13" s="21">
        <f t="shared" si="59"/>
        <v>3.98</v>
      </c>
      <c r="BW13" s="21">
        <f t="shared" si="60"/>
        <v>4.1100000000000003</v>
      </c>
      <c r="BX13" s="21">
        <f t="shared" si="61"/>
        <v>3.98</v>
      </c>
      <c r="BY13" s="21">
        <f t="shared" si="62"/>
        <v>4.1100000000000003</v>
      </c>
      <c r="BZ13" s="21">
        <f t="shared" si="8"/>
        <v>48.399999999999991</v>
      </c>
      <c r="CA13" s="21">
        <f t="shared" si="9"/>
        <v>379.79</v>
      </c>
      <c r="CB13" s="21">
        <f t="shared" si="63"/>
        <v>4.1100000000000003</v>
      </c>
      <c r="CC13" s="21">
        <f t="shared" si="64"/>
        <v>3.85</v>
      </c>
      <c r="CD13" s="21">
        <f t="shared" si="65"/>
        <v>4.1100000000000003</v>
      </c>
      <c r="CE13" s="21">
        <f t="shared" si="66"/>
        <v>3.98</v>
      </c>
      <c r="CF13" s="21">
        <f t="shared" si="67"/>
        <v>4.1100000000000003</v>
      </c>
      <c r="CG13" s="21">
        <f t="shared" si="68"/>
        <v>3.98</v>
      </c>
      <c r="CH13" s="21">
        <f t="shared" si="69"/>
        <v>4.1100000000000003</v>
      </c>
      <c r="CI13" s="21">
        <f t="shared" si="70"/>
        <v>4.1100000000000003</v>
      </c>
      <c r="CJ13" s="21">
        <f t="shared" si="71"/>
        <v>3.98</v>
      </c>
      <c r="CK13" s="21">
        <f t="shared" si="72"/>
        <v>4.1100000000000003</v>
      </c>
      <c r="CL13" s="21">
        <f t="shared" si="73"/>
        <v>3.98</v>
      </c>
      <c r="CM13" s="21">
        <f t="shared" si="74"/>
        <v>4.1100000000000003</v>
      </c>
      <c r="CN13" s="21">
        <f t="shared" si="10"/>
        <v>48.539999999999992</v>
      </c>
      <c r="CO13" s="26">
        <f t="shared" si="11"/>
        <v>428.33</v>
      </c>
      <c r="CP13" s="21">
        <f t="shared" si="75"/>
        <v>4.1100000000000003</v>
      </c>
      <c r="CQ13" s="21">
        <f t="shared" si="76"/>
        <v>3.71</v>
      </c>
      <c r="CR13" s="21">
        <f t="shared" si="77"/>
        <v>4.1100000000000003</v>
      </c>
      <c r="CS13" s="21">
        <f t="shared" si="78"/>
        <v>3.98</v>
      </c>
      <c r="CT13" s="27">
        <f t="shared" si="79"/>
        <v>4.1100000000000003</v>
      </c>
      <c r="CU13" s="21">
        <f t="shared" si="80"/>
        <v>3.98</v>
      </c>
      <c r="CV13" s="21">
        <f t="shared" si="81"/>
        <v>4.1100000000000003</v>
      </c>
      <c r="CW13" s="21">
        <f t="shared" si="82"/>
        <v>4.1100000000000003</v>
      </c>
      <c r="CX13" s="21">
        <f t="shared" si="83"/>
        <v>3.98</v>
      </c>
      <c r="CY13" s="21">
        <f t="shared" si="84"/>
        <v>4.1100000000000003</v>
      </c>
      <c r="CZ13" s="21">
        <f t="shared" si="85"/>
        <v>3.98</v>
      </c>
      <c r="DA13" s="21">
        <f t="shared" si="86"/>
        <v>4.1100000000000003</v>
      </c>
      <c r="DB13" s="26">
        <f t="shared" si="12"/>
        <v>48.399999999999991</v>
      </c>
      <c r="DC13" s="26">
        <f t="shared" si="13"/>
        <v>476.73</v>
      </c>
      <c r="DD13" s="21">
        <f t="shared" si="87"/>
        <v>4.1100000000000003</v>
      </c>
      <c r="DE13" s="21">
        <f t="shared" si="90"/>
        <v>3.71</v>
      </c>
      <c r="DF13" s="21">
        <f t="shared" si="91"/>
        <v>4.1100000000000003</v>
      </c>
      <c r="DG13" s="21">
        <f t="shared" si="92"/>
        <v>3.98</v>
      </c>
      <c r="DH13" s="21">
        <f t="shared" si="93"/>
        <v>4.1100000000000003</v>
      </c>
      <c r="DI13" s="21">
        <f t="shared" si="94"/>
        <v>3.98</v>
      </c>
      <c r="DJ13" s="26"/>
      <c r="DK13" s="26"/>
      <c r="DL13" s="26"/>
      <c r="DM13" s="26"/>
      <c r="DN13" s="26"/>
      <c r="DO13" s="26"/>
      <c r="DP13" s="26">
        <f t="shared" si="95"/>
        <v>24</v>
      </c>
      <c r="DQ13" s="21">
        <f t="shared" si="88"/>
        <v>500.73</v>
      </c>
      <c r="DR13" s="21">
        <f t="shared" si="89"/>
        <v>579.27</v>
      </c>
    </row>
    <row r="14" spans="2:122" ht="8.25">
      <c r="B14" s="23" t="s">
        <v>62</v>
      </c>
      <c r="C14" s="19" t="s">
        <v>63</v>
      </c>
      <c r="D14" s="24" t="s">
        <v>64</v>
      </c>
      <c r="E14" s="25"/>
      <c r="F14" s="25"/>
      <c r="G14" s="21">
        <v>892.7</v>
      </c>
      <c r="H14" s="21">
        <f t="shared" si="0"/>
        <v>89.27</v>
      </c>
      <c r="I14" s="21">
        <f t="shared" si="1"/>
        <v>803.43000000000006</v>
      </c>
      <c r="J14" s="21"/>
      <c r="K14" s="21"/>
      <c r="L14" s="21"/>
      <c r="M14" s="21"/>
      <c r="N14" s="21"/>
      <c r="O14" s="21"/>
      <c r="P14" s="21"/>
      <c r="Q14" s="21"/>
      <c r="R14" s="21"/>
      <c r="S14" s="21">
        <v>23.25</v>
      </c>
      <c r="T14" s="21">
        <v>40.03</v>
      </c>
      <c r="U14" s="21">
        <v>40.03</v>
      </c>
      <c r="V14" s="21">
        <v>40.03</v>
      </c>
      <c r="W14" s="21">
        <f t="shared" si="14"/>
        <v>143.34</v>
      </c>
      <c r="X14" s="21">
        <f t="shared" si="15"/>
        <v>3.4</v>
      </c>
      <c r="Y14" s="21">
        <f t="shared" si="16"/>
        <v>3.18</v>
      </c>
      <c r="Z14" s="21">
        <f t="shared" si="17"/>
        <v>3.4</v>
      </c>
      <c r="AA14" s="21">
        <f t="shared" si="18"/>
        <v>3.29</v>
      </c>
      <c r="AB14" s="21">
        <f t="shared" si="19"/>
        <v>3.4</v>
      </c>
      <c r="AC14" s="21">
        <f t="shared" si="20"/>
        <v>3.29</v>
      </c>
      <c r="AD14" s="21">
        <f t="shared" si="21"/>
        <v>3.4</v>
      </c>
      <c r="AE14" s="21">
        <f t="shared" si="22"/>
        <v>3.4</v>
      </c>
      <c r="AF14" s="21">
        <f t="shared" si="23"/>
        <v>3.29</v>
      </c>
      <c r="AG14" s="21">
        <f t="shared" si="24"/>
        <v>3.4</v>
      </c>
      <c r="AH14" s="21">
        <f t="shared" si="25"/>
        <v>3.29</v>
      </c>
      <c r="AI14" s="21">
        <f t="shared" si="26"/>
        <v>3.4</v>
      </c>
      <c r="AJ14" s="21">
        <f t="shared" si="2"/>
        <v>40.139999999999993</v>
      </c>
      <c r="AK14" s="21">
        <f t="shared" si="3"/>
        <v>183.48</v>
      </c>
      <c r="AL14" s="21">
        <f t="shared" si="27"/>
        <v>3.4</v>
      </c>
      <c r="AM14" s="21">
        <f t="shared" si="28"/>
        <v>3.07</v>
      </c>
      <c r="AN14" s="21">
        <f t="shared" si="29"/>
        <v>3.4</v>
      </c>
      <c r="AO14" s="21">
        <f t="shared" si="30"/>
        <v>3.29</v>
      </c>
      <c r="AP14" s="21">
        <f t="shared" si="31"/>
        <v>3.4</v>
      </c>
      <c r="AQ14" s="21">
        <f t="shared" si="32"/>
        <v>3.29</v>
      </c>
      <c r="AR14" s="21">
        <f t="shared" si="33"/>
        <v>3.4</v>
      </c>
      <c r="AS14" s="21">
        <f t="shared" si="34"/>
        <v>3.4</v>
      </c>
      <c r="AT14" s="21">
        <f t="shared" si="35"/>
        <v>3.29</v>
      </c>
      <c r="AU14" s="21">
        <f t="shared" si="36"/>
        <v>3.4</v>
      </c>
      <c r="AV14" s="21">
        <f t="shared" si="37"/>
        <v>3.29</v>
      </c>
      <c r="AW14" s="21">
        <f t="shared" si="38"/>
        <v>3.4</v>
      </c>
      <c r="AX14" s="21">
        <f t="shared" si="4"/>
        <v>40.029999999999994</v>
      </c>
      <c r="AY14" s="21">
        <f t="shared" si="5"/>
        <v>223.51</v>
      </c>
      <c r="AZ14" s="21">
        <f t="shared" si="39"/>
        <v>3.4</v>
      </c>
      <c r="BA14" s="21">
        <f t="shared" si="40"/>
        <v>3.07</v>
      </c>
      <c r="BB14" s="21">
        <f t="shared" si="41"/>
        <v>3.4</v>
      </c>
      <c r="BC14" s="21">
        <f t="shared" si="42"/>
        <v>3.29</v>
      </c>
      <c r="BD14" s="21">
        <f t="shared" si="43"/>
        <v>3.4</v>
      </c>
      <c r="BE14" s="21">
        <f t="shared" si="44"/>
        <v>3.29</v>
      </c>
      <c r="BF14" s="21">
        <f t="shared" si="45"/>
        <v>3.4</v>
      </c>
      <c r="BG14" s="21">
        <f t="shared" si="46"/>
        <v>3.4</v>
      </c>
      <c r="BH14" s="21">
        <f t="shared" si="47"/>
        <v>3.29</v>
      </c>
      <c r="BI14" s="21">
        <f t="shared" si="48"/>
        <v>3.4</v>
      </c>
      <c r="BJ14" s="21">
        <f t="shared" si="49"/>
        <v>3.29</v>
      </c>
      <c r="BK14" s="21">
        <f t="shared" si="50"/>
        <v>3.4</v>
      </c>
      <c r="BL14" s="21">
        <f t="shared" si="6"/>
        <v>40.029999999999994</v>
      </c>
      <c r="BM14" s="21">
        <f t="shared" si="7"/>
        <v>263.54000000000002</v>
      </c>
      <c r="BN14" s="21">
        <f t="shared" si="51"/>
        <v>3.4</v>
      </c>
      <c r="BO14" s="21">
        <f t="shared" si="52"/>
        <v>3.07</v>
      </c>
      <c r="BP14" s="21">
        <f t="shared" si="53"/>
        <v>3.4</v>
      </c>
      <c r="BQ14" s="21">
        <f t="shared" si="54"/>
        <v>3.29</v>
      </c>
      <c r="BR14" s="21">
        <f t="shared" si="55"/>
        <v>3.4</v>
      </c>
      <c r="BS14" s="21">
        <f t="shared" si="56"/>
        <v>3.29</v>
      </c>
      <c r="BT14" s="21">
        <f t="shared" si="57"/>
        <v>3.4</v>
      </c>
      <c r="BU14" s="21">
        <f t="shared" si="58"/>
        <v>3.4</v>
      </c>
      <c r="BV14" s="21">
        <f t="shared" si="59"/>
        <v>3.29</v>
      </c>
      <c r="BW14" s="21">
        <f t="shared" si="60"/>
        <v>3.4</v>
      </c>
      <c r="BX14" s="21">
        <f t="shared" si="61"/>
        <v>3.29</v>
      </c>
      <c r="BY14" s="21">
        <f t="shared" si="62"/>
        <v>3.4</v>
      </c>
      <c r="BZ14" s="21">
        <f t="shared" si="8"/>
        <v>40.029999999999994</v>
      </c>
      <c r="CA14" s="21">
        <f t="shared" si="9"/>
        <v>303.57</v>
      </c>
      <c r="CB14" s="21">
        <f t="shared" si="63"/>
        <v>3.4</v>
      </c>
      <c r="CC14" s="21">
        <f t="shared" si="64"/>
        <v>3.18</v>
      </c>
      <c r="CD14" s="21">
        <f t="shared" si="65"/>
        <v>3.4</v>
      </c>
      <c r="CE14" s="21">
        <f t="shared" si="66"/>
        <v>3.29</v>
      </c>
      <c r="CF14" s="21">
        <f t="shared" si="67"/>
        <v>3.4</v>
      </c>
      <c r="CG14" s="21">
        <f t="shared" si="68"/>
        <v>3.29</v>
      </c>
      <c r="CH14" s="21">
        <f t="shared" si="69"/>
        <v>3.4</v>
      </c>
      <c r="CI14" s="21">
        <f t="shared" si="70"/>
        <v>3.4</v>
      </c>
      <c r="CJ14" s="21">
        <f t="shared" si="71"/>
        <v>3.29</v>
      </c>
      <c r="CK14" s="21">
        <f t="shared" si="72"/>
        <v>3.4</v>
      </c>
      <c r="CL14" s="21">
        <f t="shared" si="73"/>
        <v>3.29</v>
      </c>
      <c r="CM14" s="21">
        <f t="shared" si="74"/>
        <v>3.4</v>
      </c>
      <c r="CN14" s="21">
        <f t="shared" si="10"/>
        <v>40.139999999999993</v>
      </c>
      <c r="CO14" s="26">
        <f t="shared" si="11"/>
        <v>343.71</v>
      </c>
      <c r="CP14" s="21">
        <f t="shared" si="75"/>
        <v>3.4</v>
      </c>
      <c r="CQ14" s="21">
        <f t="shared" si="76"/>
        <v>3.07</v>
      </c>
      <c r="CR14" s="21">
        <f t="shared" si="77"/>
        <v>3.4</v>
      </c>
      <c r="CS14" s="21">
        <f t="shared" si="78"/>
        <v>3.29</v>
      </c>
      <c r="CT14" s="27">
        <f t="shared" si="79"/>
        <v>3.4</v>
      </c>
      <c r="CU14" s="21">
        <f t="shared" si="80"/>
        <v>3.29</v>
      </c>
      <c r="CV14" s="21">
        <f t="shared" si="81"/>
        <v>3.4</v>
      </c>
      <c r="CW14" s="21">
        <f t="shared" si="82"/>
        <v>3.4</v>
      </c>
      <c r="CX14" s="21">
        <f t="shared" si="83"/>
        <v>3.29</v>
      </c>
      <c r="CY14" s="21">
        <f t="shared" si="84"/>
        <v>3.4</v>
      </c>
      <c r="CZ14" s="21">
        <f t="shared" si="85"/>
        <v>3.29</v>
      </c>
      <c r="DA14" s="21">
        <f t="shared" si="86"/>
        <v>3.4</v>
      </c>
      <c r="DB14" s="26">
        <f t="shared" si="12"/>
        <v>40.029999999999994</v>
      </c>
      <c r="DC14" s="26">
        <f t="shared" si="13"/>
        <v>383.74</v>
      </c>
      <c r="DD14" s="21">
        <f t="shared" si="87"/>
        <v>3.4</v>
      </c>
      <c r="DE14" s="21">
        <f t="shared" si="90"/>
        <v>3.07</v>
      </c>
      <c r="DF14" s="21">
        <f t="shared" si="91"/>
        <v>3.4</v>
      </c>
      <c r="DG14" s="21">
        <f t="shared" si="92"/>
        <v>3.29</v>
      </c>
      <c r="DH14" s="21">
        <f t="shared" si="93"/>
        <v>3.4</v>
      </c>
      <c r="DI14" s="21">
        <f t="shared" si="94"/>
        <v>3.29</v>
      </c>
      <c r="DJ14" s="26"/>
      <c r="DK14" s="26"/>
      <c r="DL14" s="26"/>
      <c r="DM14" s="26"/>
      <c r="DN14" s="26"/>
      <c r="DO14" s="26"/>
      <c r="DP14" s="26">
        <f t="shared" si="95"/>
        <v>19.849999999999998</v>
      </c>
      <c r="DQ14" s="21">
        <f t="shared" si="88"/>
        <v>403.59</v>
      </c>
      <c r="DR14" s="21">
        <f t="shared" si="89"/>
        <v>489.11000000000007</v>
      </c>
    </row>
    <row r="15" spans="2:122" ht="8.25">
      <c r="B15" s="23" t="s">
        <v>65</v>
      </c>
      <c r="C15" s="19" t="s">
        <v>66</v>
      </c>
      <c r="D15" s="24"/>
      <c r="E15" s="25"/>
      <c r="F15" s="25"/>
      <c r="G15" s="21">
        <v>6105.69</v>
      </c>
      <c r="H15" s="21">
        <f t="shared" si="0"/>
        <v>610.57000000000005</v>
      </c>
      <c r="I15" s="21">
        <f t="shared" si="1"/>
        <v>5495.1210000000001</v>
      </c>
      <c r="J15" s="21"/>
      <c r="K15" s="21"/>
      <c r="L15" s="21"/>
      <c r="M15" s="21"/>
      <c r="N15" s="21"/>
      <c r="O15" s="21"/>
      <c r="P15" s="21"/>
      <c r="Q15" s="21"/>
      <c r="R15" s="21"/>
      <c r="S15" s="21">
        <v>92.96</v>
      </c>
      <c r="T15" s="21">
        <v>273.63</v>
      </c>
      <c r="U15" s="21">
        <v>273.63</v>
      </c>
      <c r="V15" s="21">
        <v>273.63</v>
      </c>
      <c r="W15" s="21">
        <f t="shared" si="14"/>
        <v>913.85</v>
      </c>
      <c r="X15" s="21">
        <f t="shared" si="15"/>
        <v>23.24</v>
      </c>
      <c r="Y15" s="21">
        <f t="shared" si="16"/>
        <v>21.74</v>
      </c>
      <c r="Z15" s="21">
        <f t="shared" si="17"/>
        <v>23.24</v>
      </c>
      <c r="AA15" s="21">
        <f t="shared" si="18"/>
        <v>22.49</v>
      </c>
      <c r="AB15" s="21">
        <f t="shared" si="19"/>
        <v>23.24</v>
      </c>
      <c r="AC15" s="21">
        <f t="shared" si="20"/>
        <v>22.49</v>
      </c>
      <c r="AD15" s="21">
        <f t="shared" si="21"/>
        <v>23.24</v>
      </c>
      <c r="AE15" s="21">
        <f t="shared" si="22"/>
        <v>23.24</v>
      </c>
      <c r="AF15" s="21">
        <f t="shared" si="23"/>
        <v>22.49</v>
      </c>
      <c r="AG15" s="21">
        <f t="shared" si="24"/>
        <v>23.24</v>
      </c>
      <c r="AH15" s="21">
        <f t="shared" si="25"/>
        <v>22.49</v>
      </c>
      <c r="AI15" s="21">
        <f t="shared" si="26"/>
        <v>23.24</v>
      </c>
      <c r="AJ15" s="21">
        <f t="shared" si="2"/>
        <v>274.38000000000005</v>
      </c>
      <c r="AK15" s="21">
        <f t="shared" si="3"/>
        <v>1188.23</v>
      </c>
      <c r="AL15" s="21">
        <f t="shared" si="27"/>
        <v>23.24</v>
      </c>
      <c r="AM15" s="21">
        <f t="shared" si="28"/>
        <v>20.99</v>
      </c>
      <c r="AN15" s="21">
        <f t="shared" si="29"/>
        <v>23.24</v>
      </c>
      <c r="AO15" s="21">
        <f t="shared" si="30"/>
        <v>22.49</v>
      </c>
      <c r="AP15" s="21">
        <f t="shared" si="31"/>
        <v>23.24</v>
      </c>
      <c r="AQ15" s="21">
        <f t="shared" si="32"/>
        <v>22.49</v>
      </c>
      <c r="AR15" s="21">
        <f t="shared" si="33"/>
        <v>23.24</v>
      </c>
      <c r="AS15" s="21">
        <f t="shared" si="34"/>
        <v>23.24</v>
      </c>
      <c r="AT15" s="21">
        <f t="shared" si="35"/>
        <v>22.49</v>
      </c>
      <c r="AU15" s="21">
        <f t="shared" si="36"/>
        <v>23.24</v>
      </c>
      <c r="AV15" s="21">
        <f t="shared" si="37"/>
        <v>22.49</v>
      </c>
      <c r="AW15" s="21">
        <f t="shared" si="38"/>
        <v>23.24</v>
      </c>
      <c r="AX15" s="21">
        <f t="shared" si="4"/>
        <v>273.63000000000005</v>
      </c>
      <c r="AY15" s="21">
        <f t="shared" si="5"/>
        <v>1461.86</v>
      </c>
      <c r="AZ15" s="21">
        <f t="shared" si="39"/>
        <v>23.24</v>
      </c>
      <c r="BA15" s="21">
        <f t="shared" si="40"/>
        <v>20.99</v>
      </c>
      <c r="BB15" s="21">
        <f t="shared" si="41"/>
        <v>23.24</v>
      </c>
      <c r="BC15" s="21">
        <f t="shared" si="42"/>
        <v>22.49</v>
      </c>
      <c r="BD15" s="21">
        <f t="shared" si="43"/>
        <v>23.24</v>
      </c>
      <c r="BE15" s="21">
        <f t="shared" si="44"/>
        <v>22.49</v>
      </c>
      <c r="BF15" s="21">
        <f t="shared" si="45"/>
        <v>23.24</v>
      </c>
      <c r="BG15" s="21">
        <f t="shared" si="46"/>
        <v>23.24</v>
      </c>
      <c r="BH15" s="21">
        <f t="shared" si="47"/>
        <v>22.49</v>
      </c>
      <c r="BI15" s="21">
        <f t="shared" si="48"/>
        <v>23.24</v>
      </c>
      <c r="BJ15" s="21">
        <f t="shared" si="49"/>
        <v>22.49</v>
      </c>
      <c r="BK15" s="21">
        <f t="shared" si="50"/>
        <v>23.24</v>
      </c>
      <c r="BL15" s="21">
        <f t="shared" si="6"/>
        <v>273.63000000000005</v>
      </c>
      <c r="BM15" s="21">
        <f t="shared" si="7"/>
        <v>1735.49</v>
      </c>
      <c r="BN15" s="21">
        <f t="shared" si="51"/>
        <v>23.24</v>
      </c>
      <c r="BO15" s="21">
        <f t="shared" si="52"/>
        <v>20.99</v>
      </c>
      <c r="BP15" s="21">
        <f t="shared" si="53"/>
        <v>23.24</v>
      </c>
      <c r="BQ15" s="21">
        <f t="shared" si="54"/>
        <v>22.49</v>
      </c>
      <c r="BR15" s="21">
        <f t="shared" si="55"/>
        <v>23.24</v>
      </c>
      <c r="BS15" s="21">
        <f t="shared" si="56"/>
        <v>22.49</v>
      </c>
      <c r="BT15" s="21">
        <f t="shared" si="57"/>
        <v>23.24</v>
      </c>
      <c r="BU15" s="21">
        <f t="shared" si="58"/>
        <v>23.24</v>
      </c>
      <c r="BV15" s="21">
        <f t="shared" si="59"/>
        <v>22.49</v>
      </c>
      <c r="BW15" s="21">
        <f t="shared" si="60"/>
        <v>23.24</v>
      </c>
      <c r="BX15" s="21">
        <f t="shared" si="61"/>
        <v>22.49</v>
      </c>
      <c r="BY15" s="21">
        <f t="shared" si="62"/>
        <v>23.24</v>
      </c>
      <c r="BZ15" s="21">
        <f t="shared" si="8"/>
        <v>273.63000000000005</v>
      </c>
      <c r="CA15" s="21">
        <f t="shared" si="9"/>
        <v>2009.12</v>
      </c>
      <c r="CB15" s="21">
        <f t="shared" si="63"/>
        <v>23.24</v>
      </c>
      <c r="CC15" s="21">
        <f t="shared" si="64"/>
        <v>21.74</v>
      </c>
      <c r="CD15" s="21">
        <f t="shared" si="65"/>
        <v>23.24</v>
      </c>
      <c r="CE15" s="21">
        <f t="shared" si="66"/>
        <v>22.49</v>
      </c>
      <c r="CF15" s="21">
        <f t="shared" si="67"/>
        <v>23.24</v>
      </c>
      <c r="CG15" s="21">
        <f t="shared" si="68"/>
        <v>22.49</v>
      </c>
      <c r="CH15" s="21">
        <f t="shared" si="69"/>
        <v>23.24</v>
      </c>
      <c r="CI15" s="21">
        <f t="shared" si="70"/>
        <v>23.24</v>
      </c>
      <c r="CJ15" s="21">
        <f t="shared" si="71"/>
        <v>22.49</v>
      </c>
      <c r="CK15" s="21">
        <f t="shared" si="72"/>
        <v>23.24</v>
      </c>
      <c r="CL15" s="21">
        <f t="shared" si="73"/>
        <v>22.49</v>
      </c>
      <c r="CM15" s="21">
        <f t="shared" si="74"/>
        <v>23.24</v>
      </c>
      <c r="CN15" s="21">
        <f t="shared" si="10"/>
        <v>274.38000000000005</v>
      </c>
      <c r="CO15" s="26">
        <f t="shared" si="11"/>
        <v>2283.5</v>
      </c>
      <c r="CP15" s="21">
        <f t="shared" si="75"/>
        <v>23.24</v>
      </c>
      <c r="CQ15" s="21">
        <f t="shared" si="76"/>
        <v>20.99</v>
      </c>
      <c r="CR15" s="21">
        <f t="shared" si="77"/>
        <v>23.24</v>
      </c>
      <c r="CS15" s="21">
        <f t="shared" si="78"/>
        <v>22.49</v>
      </c>
      <c r="CT15" s="27">
        <f t="shared" si="79"/>
        <v>23.24</v>
      </c>
      <c r="CU15" s="21">
        <f t="shared" si="80"/>
        <v>22.49</v>
      </c>
      <c r="CV15" s="21">
        <f t="shared" si="81"/>
        <v>23.24</v>
      </c>
      <c r="CW15" s="21">
        <f t="shared" si="82"/>
        <v>23.24</v>
      </c>
      <c r="CX15" s="21">
        <f t="shared" si="83"/>
        <v>22.49</v>
      </c>
      <c r="CY15" s="21">
        <f t="shared" si="84"/>
        <v>23.24</v>
      </c>
      <c r="CZ15" s="21">
        <f t="shared" si="85"/>
        <v>22.49</v>
      </c>
      <c r="DA15" s="21">
        <f t="shared" si="86"/>
        <v>23.24</v>
      </c>
      <c r="DB15" s="26">
        <f t="shared" si="12"/>
        <v>273.63000000000005</v>
      </c>
      <c r="DC15" s="26">
        <f t="shared" si="13"/>
        <v>2557.13</v>
      </c>
      <c r="DD15" s="21">
        <f t="shared" si="87"/>
        <v>23.24</v>
      </c>
      <c r="DE15" s="21">
        <f t="shared" si="90"/>
        <v>20.99</v>
      </c>
      <c r="DF15" s="21">
        <f t="shared" si="91"/>
        <v>23.24</v>
      </c>
      <c r="DG15" s="21">
        <f t="shared" si="92"/>
        <v>22.49</v>
      </c>
      <c r="DH15" s="21">
        <f t="shared" si="93"/>
        <v>23.24</v>
      </c>
      <c r="DI15" s="21">
        <f t="shared" si="94"/>
        <v>22.49</v>
      </c>
      <c r="DJ15" s="26"/>
      <c r="DK15" s="26"/>
      <c r="DL15" s="26"/>
      <c r="DM15" s="26"/>
      <c r="DN15" s="26"/>
      <c r="DO15" s="26"/>
      <c r="DP15" s="26">
        <f t="shared" si="95"/>
        <v>135.69</v>
      </c>
      <c r="DQ15" s="21">
        <f t="shared" si="88"/>
        <v>2692.82</v>
      </c>
      <c r="DR15" s="21">
        <f t="shared" si="89"/>
        <v>3412.8699999999994</v>
      </c>
    </row>
    <row r="16" spans="2:122" ht="16.5">
      <c r="B16" s="23" t="s">
        <v>67</v>
      </c>
      <c r="C16" s="19" t="s">
        <v>68</v>
      </c>
      <c r="D16" s="24" t="s">
        <v>69</v>
      </c>
      <c r="E16" s="25"/>
      <c r="F16" s="25"/>
      <c r="G16" s="21">
        <v>3599.05</v>
      </c>
      <c r="H16" s="21">
        <f t="shared" si="0"/>
        <v>359.91</v>
      </c>
      <c r="I16" s="21">
        <f t="shared" si="1"/>
        <v>3239.1450000000004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>
        <v>136.57</v>
      </c>
      <c r="U16" s="21">
        <v>161.31</v>
      </c>
      <c r="V16" s="21">
        <v>161.31</v>
      </c>
      <c r="W16" s="21">
        <f t="shared" si="14"/>
        <v>459.19</v>
      </c>
      <c r="X16" s="21">
        <f t="shared" si="15"/>
        <v>13.7</v>
      </c>
      <c r="Y16" s="21">
        <f t="shared" si="16"/>
        <v>12.82</v>
      </c>
      <c r="Z16" s="21">
        <f t="shared" si="17"/>
        <v>13.7</v>
      </c>
      <c r="AA16" s="21">
        <f t="shared" si="18"/>
        <v>13.26</v>
      </c>
      <c r="AB16" s="21">
        <f t="shared" si="19"/>
        <v>13.7</v>
      </c>
      <c r="AC16" s="21">
        <f t="shared" si="20"/>
        <v>13.26</v>
      </c>
      <c r="AD16" s="21">
        <f t="shared" si="21"/>
        <v>13.7</v>
      </c>
      <c r="AE16" s="21">
        <f t="shared" si="22"/>
        <v>13.7</v>
      </c>
      <c r="AF16" s="21">
        <f t="shared" si="23"/>
        <v>13.26</v>
      </c>
      <c r="AG16" s="21">
        <f t="shared" si="24"/>
        <v>13.7</v>
      </c>
      <c r="AH16" s="21">
        <f t="shared" si="25"/>
        <v>13.26</v>
      </c>
      <c r="AI16" s="21">
        <f t="shared" si="26"/>
        <v>13.7</v>
      </c>
      <c r="AJ16" s="21">
        <f t="shared" si="2"/>
        <v>161.76</v>
      </c>
      <c r="AK16" s="21">
        <f t="shared" si="3"/>
        <v>620.95000000000005</v>
      </c>
      <c r="AL16" s="21">
        <f t="shared" si="27"/>
        <v>13.7</v>
      </c>
      <c r="AM16" s="21">
        <f t="shared" si="28"/>
        <v>12.37</v>
      </c>
      <c r="AN16" s="21">
        <f t="shared" si="29"/>
        <v>13.7</v>
      </c>
      <c r="AO16" s="21">
        <f t="shared" si="30"/>
        <v>13.26</v>
      </c>
      <c r="AP16" s="21">
        <f t="shared" si="31"/>
        <v>13.7</v>
      </c>
      <c r="AQ16" s="21">
        <f t="shared" si="32"/>
        <v>13.26</v>
      </c>
      <c r="AR16" s="21">
        <f t="shared" si="33"/>
        <v>13.7</v>
      </c>
      <c r="AS16" s="21">
        <f t="shared" si="34"/>
        <v>13.7</v>
      </c>
      <c r="AT16" s="21">
        <f t="shared" si="35"/>
        <v>13.26</v>
      </c>
      <c r="AU16" s="21">
        <f t="shared" si="36"/>
        <v>13.7</v>
      </c>
      <c r="AV16" s="21">
        <f t="shared" si="37"/>
        <v>13.26</v>
      </c>
      <c r="AW16" s="21">
        <f t="shared" si="38"/>
        <v>13.7</v>
      </c>
      <c r="AX16" s="21">
        <f t="shared" si="4"/>
        <v>161.30999999999997</v>
      </c>
      <c r="AY16" s="21">
        <f t="shared" si="5"/>
        <v>782.26</v>
      </c>
      <c r="AZ16" s="21">
        <f t="shared" si="39"/>
        <v>13.7</v>
      </c>
      <c r="BA16" s="21">
        <f t="shared" si="40"/>
        <v>12.37</v>
      </c>
      <c r="BB16" s="21">
        <f t="shared" si="41"/>
        <v>13.7</v>
      </c>
      <c r="BC16" s="21">
        <f t="shared" si="42"/>
        <v>13.26</v>
      </c>
      <c r="BD16" s="21">
        <f t="shared" si="43"/>
        <v>13.7</v>
      </c>
      <c r="BE16" s="21">
        <f t="shared" si="44"/>
        <v>13.26</v>
      </c>
      <c r="BF16" s="21">
        <f t="shared" si="45"/>
        <v>13.7</v>
      </c>
      <c r="BG16" s="21">
        <f t="shared" si="46"/>
        <v>13.7</v>
      </c>
      <c r="BH16" s="21">
        <f t="shared" si="47"/>
        <v>13.26</v>
      </c>
      <c r="BI16" s="21">
        <f t="shared" si="48"/>
        <v>13.7</v>
      </c>
      <c r="BJ16" s="21">
        <f t="shared" si="49"/>
        <v>13.26</v>
      </c>
      <c r="BK16" s="21">
        <f t="shared" si="50"/>
        <v>13.7</v>
      </c>
      <c r="BL16" s="21">
        <f t="shared" si="6"/>
        <v>161.30999999999997</v>
      </c>
      <c r="BM16" s="21">
        <f t="shared" si="7"/>
        <v>943.57</v>
      </c>
      <c r="BN16" s="21">
        <f t="shared" si="51"/>
        <v>13.7</v>
      </c>
      <c r="BO16" s="21">
        <f t="shared" si="52"/>
        <v>12.37</v>
      </c>
      <c r="BP16" s="21">
        <f t="shared" si="53"/>
        <v>13.7</v>
      </c>
      <c r="BQ16" s="21">
        <f t="shared" si="54"/>
        <v>13.26</v>
      </c>
      <c r="BR16" s="21">
        <f t="shared" si="55"/>
        <v>13.7</v>
      </c>
      <c r="BS16" s="21">
        <f t="shared" si="56"/>
        <v>13.26</v>
      </c>
      <c r="BT16" s="21">
        <f t="shared" si="57"/>
        <v>13.7</v>
      </c>
      <c r="BU16" s="21">
        <f t="shared" si="58"/>
        <v>13.7</v>
      </c>
      <c r="BV16" s="21">
        <f t="shared" si="59"/>
        <v>13.26</v>
      </c>
      <c r="BW16" s="21">
        <f t="shared" si="60"/>
        <v>13.7</v>
      </c>
      <c r="BX16" s="21">
        <f t="shared" si="61"/>
        <v>13.26</v>
      </c>
      <c r="BY16" s="21">
        <f t="shared" si="62"/>
        <v>13.7</v>
      </c>
      <c r="BZ16" s="21">
        <f t="shared" si="8"/>
        <v>161.30999999999997</v>
      </c>
      <c r="CA16" s="21">
        <f t="shared" si="9"/>
        <v>1104.8800000000001</v>
      </c>
      <c r="CB16" s="21">
        <f t="shared" si="63"/>
        <v>13.7</v>
      </c>
      <c r="CC16" s="21">
        <f t="shared" si="64"/>
        <v>12.82</v>
      </c>
      <c r="CD16" s="21">
        <f t="shared" si="65"/>
        <v>13.7</v>
      </c>
      <c r="CE16" s="21">
        <f t="shared" si="66"/>
        <v>13.26</v>
      </c>
      <c r="CF16" s="21">
        <f t="shared" si="67"/>
        <v>13.7</v>
      </c>
      <c r="CG16" s="21">
        <f t="shared" si="68"/>
        <v>13.26</v>
      </c>
      <c r="CH16" s="21">
        <f t="shared" si="69"/>
        <v>13.7</v>
      </c>
      <c r="CI16" s="21">
        <f t="shared" si="70"/>
        <v>13.7</v>
      </c>
      <c r="CJ16" s="21">
        <f t="shared" si="71"/>
        <v>13.26</v>
      </c>
      <c r="CK16" s="21">
        <f t="shared" si="72"/>
        <v>13.7</v>
      </c>
      <c r="CL16" s="21">
        <f t="shared" si="73"/>
        <v>13.26</v>
      </c>
      <c r="CM16" s="21">
        <f t="shared" si="74"/>
        <v>13.7</v>
      </c>
      <c r="CN16" s="21">
        <f t="shared" si="10"/>
        <v>161.76</v>
      </c>
      <c r="CO16" s="26">
        <f t="shared" si="11"/>
        <v>1266.6400000000001</v>
      </c>
      <c r="CP16" s="21">
        <f t="shared" si="75"/>
        <v>13.7</v>
      </c>
      <c r="CQ16" s="21">
        <f t="shared" si="76"/>
        <v>12.37</v>
      </c>
      <c r="CR16" s="21">
        <f t="shared" si="77"/>
        <v>13.7</v>
      </c>
      <c r="CS16" s="21">
        <f t="shared" si="78"/>
        <v>13.26</v>
      </c>
      <c r="CT16" s="27">
        <f t="shared" si="79"/>
        <v>13.7</v>
      </c>
      <c r="CU16" s="21">
        <f t="shared" si="80"/>
        <v>13.26</v>
      </c>
      <c r="CV16" s="21">
        <f t="shared" si="81"/>
        <v>13.7</v>
      </c>
      <c r="CW16" s="21">
        <f t="shared" si="82"/>
        <v>13.7</v>
      </c>
      <c r="CX16" s="21">
        <f t="shared" si="83"/>
        <v>13.26</v>
      </c>
      <c r="CY16" s="21">
        <f t="shared" si="84"/>
        <v>13.7</v>
      </c>
      <c r="CZ16" s="21">
        <f t="shared" si="85"/>
        <v>13.26</v>
      </c>
      <c r="DA16" s="21">
        <f t="shared" si="86"/>
        <v>13.7</v>
      </c>
      <c r="DB16" s="26">
        <f t="shared" si="12"/>
        <v>161.30999999999997</v>
      </c>
      <c r="DC16" s="26">
        <f t="shared" si="13"/>
        <v>1427.95</v>
      </c>
      <c r="DD16" s="21">
        <f t="shared" si="87"/>
        <v>13.7</v>
      </c>
      <c r="DE16" s="21">
        <f t="shared" si="90"/>
        <v>12.37</v>
      </c>
      <c r="DF16" s="21">
        <f t="shared" si="91"/>
        <v>13.7</v>
      </c>
      <c r="DG16" s="21">
        <f t="shared" si="92"/>
        <v>13.26</v>
      </c>
      <c r="DH16" s="21">
        <f t="shared" si="93"/>
        <v>13.7</v>
      </c>
      <c r="DI16" s="21">
        <f t="shared" si="94"/>
        <v>13.26</v>
      </c>
      <c r="DJ16" s="26"/>
      <c r="DK16" s="26"/>
      <c r="DL16" s="26"/>
      <c r="DM16" s="26"/>
      <c r="DN16" s="26"/>
      <c r="DO16" s="26"/>
      <c r="DP16" s="26">
        <f t="shared" si="95"/>
        <v>79.989999999999995</v>
      </c>
      <c r="DQ16" s="21">
        <f t="shared" si="88"/>
        <v>1507.94</v>
      </c>
      <c r="DR16" s="21">
        <f t="shared" si="89"/>
        <v>2091.11</v>
      </c>
    </row>
    <row r="17" spans="2:129" ht="18" customHeight="1">
      <c r="B17" s="23" t="s">
        <v>70</v>
      </c>
      <c r="C17" s="19" t="s">
        <v>71</v>
      </c>
      <c r="D17" s="24" t="s">
        <v>72</v>
      </c>
      <c r="E17" s="25"/>
      <c r="F17" s="25"/>
      <c r="G17" s="21">
        <v>10649</v>
      </c>
      <c r="H17" s="21">
        <f t="shared" si="0"/>
        <v>1064.9000000000001</v>
      </c>
      <c r="I17" s="21">
        <f>(G17*0.9)</f>
        <v>9584.1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v>31.38</v>
      </c>
      <c r="U17" s="21">
        <v>477.24</v>
      </c>
      <c r="V17" s="21">
        <v>477.24</v>
      </c>
      <c r="W17" s="21">
        <f t="shared" si="14"/>
        <v>985.86</v>
      </c>
      <c r="X17" s="21">
        <f t="shared" si="15"/>
        <v>40.53</v>
      </c>
      <c r="Y17" s="21">
        <f t="shared" si="16"/>
        <v>37.92</v>
      </c>
      <c r="Z17" s="21">
        <f t="shared" si="17"/>
        <v>40.53</v>
      </c>
      <c r="AA17" s="21">
        <f t="shared" si="18"/>
        <v>39.229999999999997</v>
      </c>
      <c r="AB17" s="21">
        <f t="shared" si="19"/>
        <v>40.53</v>
      </c>
      <c r="AC17" s="21">
        <f t="shared" si="20"/>
        <v>39.229999999999997</v>
      </c>
      <c r="AD17" s="21">
        <f t="shared" si="21"/>
        <v>40.53</v>
      </c>
      <c r="AE17" s="21">
        <f t="shared" si="22"/>
        <v>40.53</v>
      </c>
      <c r="AF17" s="21">
        <f t="shared" si="23"/>
        <v>39.229999999999997</v>
      </c>
      <c r="AG17" s="21">
        <f t="shared" si="24"/>
        <v>40.53</v>
      </c>
      <c r="AH17" s="21">
        <f t="shared" si="25"/>
        <v>39.229999999999997</v>
      </c>
      <c r="AI17" s="21">
        <f t="shared" si="26"/>
        <v>40.53</v>
      </c>
      <c r="AJ17" s="21">
        <f t="shared" si="2"/>
        <v>478.54999999999995</v>
      </c>
      <c r="AK17" s="21">
        <f t="shared" si="3"/>
        <v>1464.41</v>
      </c>
      <c r="AL17" s="21">
        <f t="shared" si="27"/>
        <v>40.53</v>
      </c>
      <c r="AM17" s="21">
        <f t="shared" si="28"/>
        <v>36.61</v>
      </c>
      <c r="AN17" s="21">
        <f t="shared" si="29"/>
        <v>40.53</v>
      </c>
      <c r="AO17" s="21">
        <f t="shared" si="30"/>
        <v>39.229999999999997</v>
      </c>
      <c r="AP17" s="21">
        <f t="shared" si="31"/>
        <v>40.53</v>
      </c>
      <c r="AQ17" s="21">
        <f t="shared" si="32"/>
        <v>39.229999999999997</v>
      </c>
      <c r="AR17" s="21">
        <f t="shared" si="33"/>
        <v>40.53</v>
      </c>
      <c r="AS17" s="21">
        <f t="shared" si="34"/>
        <v>40.53</v>
      </c>
      <c r="AT17" s="21">
        <f t="shared" si="35"/>
        <v>39.229999999999997</v>
      </c>
      <c r="AU17" s="21">
        <f t="shared" si="36"/>
        <v>40.53</v>
      </c>
      <c r="AV17" s="21">
        <f t="shared" si="37"/>
        <v>39.229999999999997</v>
      </c>
      <c r="AW17" s="21">
        <f t="shared" si="38"/>
        <v>40.53</v>
      </c>
      <c r="AX17" s="21">
        <f t="shared" si="4"/>
        <v>477.24</v>
      </c>
      <c r="AY17" s="21">
        <f t="shared" si="5"/>
        <v>1941.65</v>
      </c>
      <c r="AZ17" s="21">
        <f t="shared" si="39"/>
        <v>40.53</v>
      </c>
      <c r="BA17" s="21">
        <f t="shared" si="40"/>
        <v>36.61</v>
      </c>
      <c r="BB17" s="21">
        <f t="shared" si="41"/>
        <v>40.53</v>
      </c>
      <c r="BC17" s="21">
        <f t="shared" si="42"/>
        <v>39.229999999999997</v>
      </c>
      <c r="BD17" s="21">
        <f t="shared" si="43"/>
        <v>40.53</v>
      </c>
      <c r="BE17" s="21">
        <f t="shared" si="44"/>
        <v>39.229999999999997</v>
      </c>
      <c r="BF17" s="21">
        <f t="shared" si="45"/>
        <v>40.53</v>
      </c>
      <c r="BG17" s="21">
        <f t="shared" si="46"/>
        <v>40.53</v>
      </c>
      <c r="BH17" s="21">
        <f t="shared" si="47"/>
        <v>39.229999999999997</v>
      </c>
      <c r="BI17" s="21">
        <f t="shared" si="48"/>
        <v>40.53</v>
      </c>
      <c r="BJ17" s="21">
        <f t="shared" si="49"/>
        <v>39.229999999999997</v>
      </c>
      <c r="BK17" s="21">
        <f t="shared" si="50"/>
        <v>40.53</v>
      </c>
      <c r="BL17" s="21">
        <f t="shared" si="6"/>
        <v>477.24</v>
      </c>
      <c r="BM17" s="21">
        <f t="shared" si="7"/>
        <v>2418.89</v>
      </c>
      <c r="BN17" s="21">
        <f t="shared" si="51"/>
        <v>40.53</v>
      </c>
      <c r="BO17" s="21">
        <f t="shared" si="52"/>
        <v>36.61</v>
      </c>
      <c r="BP17" s="21">
        <f t="shared" si="53"/>
        <v>40.53</v>
      </c>
      <c r="BQ17" s="21">
        <f t="shared" si="54"/>
        <v>39.229999999999997</v>
      </c>
      <c r="BR17" s="21">
        <f t="shared" si="55"/>
        <v>40.53</v>
      </c>
      <c r="BS17" s="21">
        <f t="shared" si="56"/>
        <v>39.229999999999997</v>
      </c>
      <c r="BT17" s="21">
        <f t="shared" si="57"/>
        <v>40.53</v>
      </c>
      <c r="BU17" s="21">
        <f t="shared" si="58"/>
        <v>40.53</v>
      </c>
      <c r="BV17" s="21">
        <f t="shared" si="59"/>
        <v>39.229999999999997</v>
      </c>
      <c r="BW17" s="21">
        <f t="shared" si="60"/>
        <v>40.53</v>
      </c>
      <c r="BX17" s="21">
        <f t="shared" si="61"/>
        <v>39.229999999999997</v>
      </c>
      <c r="BY17" s="21">
        <f t="shared" si="62"/>
        <v>40.53</v>
      </c>
      <c r="BZ17" s="21">
        <f t="shared" si="8"/>
        <v>477.24</v>
      </c>
      <c r="CA17" s="21">
        <f t="shared" si="9"/>
        <v>2896.13</v>
      </c>
      <c r="CB17" s="21">
        <f t="shared" si="63"/>
        <v>40.53</v>
      </c>
      <c r="CC17" s="21">
        <f t="shared" si="64"/>
        <v>37.92</v>
      </c>
      <c r="CD17" s="21">
        <f t="shared" si="65"/>
        <v>40.53</v>
      </c>
      <c r="CE17" s="21">
        <f t="shared" si="66"/>
        <v>39.229999999999997</v>
      </c>
      <c r="CF17" s="21">
        <f t="shared" si="67"/>
        <v>40.53</v>
      </c>
      <c r="CG17" s="21">
        <f t="shared" si="68"/>
        <v>39.229999999999997</v>
      </c>
      <c r="CH17" s="21">
        <f t="shared" si="69"/>
        <v>40.53</v>
      </c>
      <c r="CI17" s="21">
        <f t="shared" si="70"/>
        <v>40.53</v>
      </c>
      <c r="CJ17" s="21">
        <f t="shared" si="71"/>
        <v>39.229999999999997</v>
      </c>
      <c r="CK17" s="21">
        <f t="shared" si="72"/>
        <v>40.53</v>
      </c>
      <c r="CL17" s="21">
        <f t="shared" si="73"/>
        <v>39.229999999999997</v>
      </c>
      <c r="CM17" s="21">
        <f t="shared" si="74"/>
        <v>40.53</v>
      </c>
      <c r="CN17" s="21">
        <f t="shared" si="10"/>
        <v>478.54999999999995</v>
      </c>
      <c r="CO17" s="26">
        <f t="shared" si="11"/>
        <v>3374.68</v>
      </c>
      <c r="CP17" s="21">
        <f t="shared" si="75"/>
        <v>40.53</v>
      </c>
      <c r="CQ17" s="21">
        <f t="shared" si="76"/>
        <v>36.61</v>
      </c>
      <c r="CR17" s="21">
        <f t="shared" si="77"/>
        <v>40.53</v>
      </c>
      <c r="CS17" s="21">
        <f t="shared" si="78"/>
        <v>39.229999999999997</v>
      </c>
      <c r="CT17" s="27">
        <f t="shared" si="79"/>
        <v>40.53</v>
      </c>
      <c r="CU17" s="21">
        <f t="shared" si="80"/>
        <v>39.229999999999997</v>
      </c>
      <c r="CV17" s="21">
        <f t="shared" si="81"/>
        <v>40.53</v>
      </c>
      <c r="CW17" s="21">
        <f t="shared" si="82"/>
        <v>40.53</v>
      </c>
      <c r="CX17" s="21">
        <f t="shared" si="83"/>
        <v>39.229999999999997</v>
      </c>
      <c r="CY17" s="21">
        <f t="shared" si="84"/>
        <v>40.53</v>
      </c>
      <c r="CZ17" s="21">
        <f t="shared" si="85"/>
        <v>39.229999999999997</v>
      </c>
      <c r="DA17" s="21">
        <f t="shared" si="86"/>
        <v>40.53</v>
      </c>
      <c r="DB17" s="26">
        <f t="shared" si="12"/>
        <v>477.24</v>
      </c>
      <c r="DC17" s="26">
        <f t="shared" si="13"/>
        <v>3851.92</v>
      </c>
      <c r="DD17" s="21">
        <f t="shared" si="87"/>
        <v>40.53</v>
      </c>
      <c r="DE17" s="21">
        <f t="shared" si="90"/>
        <v>36.61</v>
      </c>
      <c r="DF17" s="21">
        <f t="shared" si="91"/>
        <v>40.53</v>
      </c>
      <c r="DG17" s="21">
        <f t="shared" si="92"/>
        <v>39.229999999999997</v>
      </c>
      <c r="DH17" s="21">
        <f t="shared" si="93"/>
        <v>40.53</v>
      </c>
      <c r="DI17" s="21">
        <f t="shared" si="94"/>
        <v>39.229999999999997</v>
      </c>
      <c r="DJ17" s="26"/>
      <c r="DK17" s="26"/>
      <c r="DL17" s="26"/>
      <c r="DM17" s="26"/>
      <c r="DN17" s="26"/>
      <c r="DO17" s="26"/>
      <c r="DP17" s="26">
        <f t="shared" si="95"/>
        <v>236.66</v>
      </c>
      <c r="DQ17" s="21">
        <f t="shared" si="88"/>
        <v>4088.58</v>
      </c>
      <c r="DR17" s="21">
        <f t="shared" si="89"/>
        <v>6560.42</v>
      </c>
    </row>
    <row r="18" spans="2:129" ht="18" customHeight="1">
      <c r="B18" s="23" t="s">
        <v>73</v>
      </c>
      <c r="C18" s="19" t="s">
        <v>74</v>
      </c>
      <c r="D18" s="24"/>
      <c r="E18" s="25"/>
      <c r="F18" s="25"/>
      <c r="G18" s="21">
        <v>1850.86</v>
      </c>
      <c r="H18" s="21">
        <f t="shared" si="0"/>
        <v>185.09</v>
      </c>
      <c r="I18" s="21">
        <f t="shared" si="1"/>
        <v>1665.7739999999999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>
        <v>2.95</v>
      </c>
      <c r="U18" s="21">
        <v>82.92</v>
      </c>
      <c r="V18" s="21">
        <v>82.92</v>
      </c>
      <c r="W18" s="21">
        <f t="shared" si="14"/>
        <v>168.79000000000002</v>
      </c>
      <c r="X18" s="21">
        <f t="shared" si="15"/>
        <v>7.04</v>
      </c>
      <c r="Y18" s="21">
        <f t="shared" si="16"/>
        <v>6.59</v>
      </c>
      <c r="Z18" s="21">
        <f t="shared" si="17"/>
        <v>7.04</v>
      </c>
      <c r="AA18" s="21">
        <f t="shared" si="18"/>
        <v>6.82</v>
      </c>
      <c r="AB18" s="21">
        <f t="shared" si="19"/>
        <v>7.04</v>
      </c>
      <c r="AC18" s="21">
        <f t="shared" si="20"/>
        <v>6.82</v>
      </c>
      <c r="AD18" s="21">
        <f t="shared" si="21"/>
        <v>7.04</v>
      </c>
      <c r="AE18" s="21">
        <f t="shared" si="22"/>
        <v>7.04</v>
      </c>
      <c r="AF18" s="21">
        <f t="shared" si="23"/>
        <v>6.82</v>
      </c>
      <c r="AG18" s="21">
        <f t="shared" si="24"/>
        <v>7.04</v>
      </c>
      <c r="AH18" s="21">
        <f t="shared" si="25"/>
        <v>6.82</v>
      </c>
      <c r="AI18" s="21">
        <f t="shared" si="26"/>
        <v>7.04</v>
      </c>
      <c r="AJ18" s="21">
        <f t="shared" si="2"/>
        <v>83.15000000000002</v>
      </c>
      <c r="AK18" s="21">
        <f t="shared" si="3"/>
        <v>251.94</v>
      </c>
      <c r="AL18" s="21">
        <f t="shared" si="27"/>
        <v>7.04</v>
      </c>
      <c r="AM18" s="21">
        <f t="shared" si="28"/>
        <v>6.36</v>
      </c>
      <c r="AN18" s="21">
        <f t="shared" si="29"/>
        <v>7.04</v>
      </c>
      <c r="AO18" s="21">
        <f t="shared" si="30"/>
        <v>6.82</v>
      </c>
      <c r="AP18" s="21">
        <f t="shared" si="31"/>
        <v>7.04</v>
      </c>
      <c r="AQ18" s="21">
        <f t="shared" si="32"/>
        <v>6.82</v>
      </c>
      <c r="AR18" s="21">
        <f t="shared" si="33"/>
        <v>7.04</v>
      </c>
      <c r="AS18" s="21">
        <f t="shared" si="34"/>
        <v>7.04</v>
      </c>
      <c r="AT18" s="21">
        <f t="shared" si="35"/>
        <v>6.82</v>
      </c>
      <c r="AU18" s="21">
        <f t="shared" si="36"/>
        <v>7.04</v>
      </c>
      <c r="AV18" s="21">
        <f t="shared" si="37"/>
        <v>6.82</v>
      </c>
      <c r="AW18" s="21">
        <f t="shared" si="38"/>
        <v>7.04</v>
      </c>
      <c r="AX18" s="21">
        <f t="shared" si="4"/>
        <v>82.92</v>
      </c>
      <c r="AY18" s="21">
        <f t="shared" si="5"/>
        <v>334.86</v>
      </c>
      <c r="AZ18" s="21">
        <f t="shared" si="39"/>
        <v>7.04</v>
      </c>
      <c r="BA18" s="21">
        <f t="shared" si="40"/>
        <v>6.36</v>
      </c>
      <c r="BB18" s="21">
        <f t="shared" si="41"/>
        <v>7.04</v>
      </c>
      <c r="BC18" s="21">
        <f t="shared" si="42"/>
        <v>6.82</v>
      </c>
      <c r="BD18" s="21">
        <f t="shared" si="43"/>
        <v>7.04</v>
      </c>
      <c r="BE18" s="21">
        <f t="shared" si="44"/>
        <v>6.82</v>
      </c>
      <c r="BF18" s="21">
        <f t="shared" si="45"/>
        <v>7.04</v>
      </c>
      <c r="BG18" s="21">
        <f t="shared" si="46"/>
        <v>7.04</v>
      </c>
      <c r="BH18" s="21">
        <f t="shared" si="47"/>
        <v>6.82</v>
      </c>
      <c r="BI18" s="21">
        <f t="shared" si="48"/>
        <v>7.04</v>
      </c>
      <c r="BJ18" s="21">
        <f t="shared" si="49"/>
        <v>6.82</v>
      </c>
      <c r="BK18" s="21">
        <f t="shared" si="50"/>
        <v>7.04</v>
      </c>
      <c r="BL18" s="21">
        <f t="shared" si="6"/>
        <v>82.92</v>
      </c>
      <c r="BM18" s="21">
        <f t="shared" si="7"/>
        <v>417.78</v>
      </c>
      <c r="BN18" s="21">
        <f t="shared" si="51"/>
        <v>7.04</v>
      </c>
      <c r="BO18" s="21">
        <f t="shared" si="52"/>
        <v>6.36</v>
      </c>
      <c r="BP18" s="21">
        <f t="shared" si="53"/>
        <v>7.04</v>
      </c>
      <c r="BQ18" s="21">
        <f t="shared" si="54"/>
        <v>6.82</v>
      </c>
      <c r="BR18" s="21">
        <f t="shared" si="55"/>
        <v>7.04</v>
      </c>
      <c r="BS18" s="21">
        <f t="shared" si="56"/>
        <v>6.82</v>
      </c>
      <c r="BT18" s="21">
        <f t="shared" si="57"/>
        <v>7.04</v>
      </c>
      <c r="BU18" s="21">
        <f t="shared" si="58"/>
        <v>7.04</v>
      </c>
      <c r="BV18" s="21">
        <f t="shared" si="59"/>
        <v>6.82</v>
      </c>
      <c r="BW18" s="21">
        <f t="shared" si="60"/>
        <v>7.04</v>
      </c>
      <c r="BX18" s="21">
        <f t="shared" si="61"/>
        <v>6.82</v>
      </c>
      <c r="BY18" s="21">
        <f t="shared" si="62"/>
        <v>7.04</v>
      </c>
      <c r="BZ18" s="21">
        <f t="shared" si="8"/>
        <v>82.92</v>
      </c>
      <c r="CA18" s="21">
        <f t="shared" si="9"/>
        <v>500.7</v>
      </c>
      <c r="CB18" s="21">
        <f t="shared" si="63"/>
        <v>7.04</v>
      </c>
      <c r="CC18" s="21">
        <f t="shared" si="64"/>
        <v>6.59</v>
      </c>
      <c r="CD18" s="21">
        <f t="shared" si="65"/>
        <v>7.04</v>
      </c>
      <c r="CE18" s="21">
        <f t="shared" si="66"/>
        <v>6.82</v>
      </c>
      <c r="CF18" s="21">
        <f t="shared" si="67"/>
        <v>7.04</v>
      </c>
      <c r="CG18" s="21">
        <f t="shared" si="68"/>
        <v>6.82</v>
      </c>
      <c r="CH18" s="21">
        <f t="shared" si="69"/>
        <v>7.04</v>
      </c>
      <c r="CI18" s="21">
        <f t="shared" si="70"/>
        <v>7.04</v>
      </c>
      <c r="CJ18" s="21">
        <f t="shared" si="71"/>
        <v>6.82</v>
      </c>
      <c r="CK18" s="21">
        <f t="shared" si="72"/>
        <v>7.04</v>
      </c>
      <c r="CL18" s="21">
        <f t="shared" si="73"/>
        <v>6.82</v>
      </c>
      <c r="CM18" s="21">
        <f t="shared" si="74"/>
        <v>7.04</v>
      </c>
      <c r="CN18" s="21">
        <f t="shared" si="10"/>
        <v>83.15000000000002</v>
      </c>
      <c r="CO18" s="26">
        <f t="shared" si="11"/>
        <v>583.85</v>
      </c>
      <c r="CP18" s="21">
        <f t="shared" si="75"/>
        <v>7.04</v>
      </c>
      <c r="CQ18" s="21">
        <f t="shared" si="76"/>
        <v>6.36</v>
      </c>
      <c r="CR18" s="21">
        <f t="shared" si="77"/>
        <v>7.04</v>
      </c>
      <c r="CS18" s="21">
        <f t="shared" si="78"/>
        <v>6.82</v>
      </c>
      <c r="CT18" s="27">
        <f t="shared" si="79"/>
        <v>7.04</v>
      </c>
      <c r="CU18" s="21">
        <f t="shared" si="80"/>
        <v>6.82</v>
      </c>
      <c r="CV18" s="21">
        <f t="shared" si="81"/>
        <v>7.04</v>
      </c>
      <c r="CW18" s="21">
        <f t="shared" si="82"/>
        <v>7.04</v>
      </c>
      <c r="CX18" s="21">
        <f t="shared" si="83"/>
        <v>6.82</v>
      </c>
      <c r="CY18" s="21">
        <f t="shared" si="84"/>
        <v>7.04</v>
      </c>
      <c r="CZ18" s="21">
        <f t="shared" si="85"/>
        <v>6.82</v>
      </c>
      <c r="DA18" s="21">
        <f t="shared" si="86"/>
        <v>7.04</v>
      </c>
      <c r="DB18" s="26">
        <f t="shared" si="12"/>
        <v>82.92</v>
      </c>
      <c r="DC18" s="26">
        <f t="shared" si="13"/>
        <v>666.77</v>
      </c>
      <c r="DD18" s="21">
        <f t="shared" si="87"/>
        <v>7.04</v>
      </c>
      <c r="DE18" s="21">
        <f t="shared" si="90"/>
        <v>6.36</v>
      </c>
      <c r="DF18" s="21">
        <f t="shared" si="91"/>
        <v>7.04</v>
      </c>
      <c r="DG18" s="21">
        <f t="shared" si="92"/>
        <v>6.82</v>
      </c>
      <c r="DH18" s="21">
        <f t="shared" si="93"/>
        <v>7.04</v>
      </c>
      <c r="DI18" s="21">
        <f t="shared" si="94"/>
        <v>6.82</v>
      </c>
      <c r="DJ18" s="26"/>
      <c r="DK18" s="26"/>
      <c r="DL18" s="26"/>
      <c r="DM18" s="26"/>
      <c r="DN18" s="26"/>
      <c r="DO18" s="26"/>
      <c r="DP18" s="26">
        <f t="shared" si="95"/>
        <v>41.120000000000005</v>
      </c>
      <c r="DQ18" s="21">
        <f t="shared" si="88"/>
        <v>707.89</v>
      </c>
      <c r="DR18" s="21">
        <f t="shared" si="89"/>
        <v>1142.9699999999998</v>
      </c>
    </row>
    <row r="19" spans="2:129" ht="20.25" customHeight="1">
      <c r="B19" s="23" t="s">
        <v>75</v>
      </c>
      <c r="C19" s="19" t="s">
        <v>76</v>
      </c>
      <c r="D19" s="24" t="s">
        <v>77</v>
      </c>
      <c r="E19" s="25"/>
      <c r="F19" s="25"/>
      <c r="G19" s="21">
        <v>3112.27</v>
      </c>
      <c r="H19" s="21">
        <f t="shared" si="0"/>
        <v>311.23</v>
      </c>
      <c r="I19" s="21">
        <f t="shared" si="1"/>
        <v>2801.0430000000001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>
        <v>5.73</v>
      </c>
      <c r="V19" s="21">
        <v>139.49</v>
      </c>
      <c r="W19" s="21">
        <f t="shared" si="14"/>
        <v>145.22</v>
      </c>
      <c r="X19" s="21">
        <f t="shared" si="15"/>
        <v>11.85</v>
      </c>
      <c r="Y19" s="21">
        <f t="shared" si="16"/>
        <v>11.08</v>
      </c>
      <c r="Z19" s="21">
        <f t="shared" si="17"/>
        <v>11.85</v>
      </c>
      <c r="AA19" s="21">
        <f t="shared" si="18"/>
        <v>11.46</v>
      </c>
      <c r="AB19" s="21">
        <f t="shared" si="19"/>
        <v>11.85</v>
      </c>
      <c r="AC19" s="21">
        <f t="shared" si="20"/>
        <v>11.46</v>
      </c>
      <c r="AD19" s="21">
        <f t="shared" si="21"/>
        <v>11.85</v>
      </c>
      <c r="AE19" s="21">
        <f t="shared" si="22"/>
        <v>11.85</v>
      </c>
      <c r="AF19" s="21">
        <f t="shared" si="23"/>
        <v>11.46</v>
      </c>
      <c r="AG19" s="21">
        <f t="shared" si="24"/>
        <v>11.85</v>
      </c>
      <c r="AH19" s="21">
        <f t="shared" si="25"/>
        <v>11.46</v>
      </c>
      <c r="AI19" s="21">
        <f t="shared" si="26"/>
        <v>11.85</v>
      </c>
      <c r="AJ19" s="21">
        <f t="shared" si="2"/>
        <v>139.87</v>
      </c>
      <c r="AK19" s="21">
        <f t="shared" si="3"/>
        <v>285.08999999999997</v>
      </c>
      <c r="AL19" s="21">
        <f t="shared" si="27"/>
        <v>11.85</v>
      </c>
      <c r="AM19" s="21">
        <f t="shared" si="28"/>
        <v>10.7</v>
      </c>
      <c r="AN19" s="21">
        <f t="shared" si="29"/>
        <v>11.85</v>
      </c>
      <c r="AO19" s="21">
        <f t="shared" si="30"/>
        <v>11.46</v>
      </c>
      <c r="AP19" s="21">
        <f t="shared" si="31"/>
        <v>11.85</v>
      </c>
      <c r="AQ19" s="21">
        <f t="shared" si="32"/>
        <v>11.46</v>
      </c>
      <c r="AR19" s="21">
        <f t="shared" si="33"/>
        <v>11.85</v>
      </c>
      <c r="AS19" s="21">
        <f t="shared" si="34"/>
        <v>11.85</v>
      </c>
      <c r="AT19" s="21">
        <f t="shared" si="35"/>
        <v>11.46</v>
      </c>
      <c r="AU19" s="21">
        <f t="shared" si="36"/>
        <v>11.85</v>
      </c>
      <c r="AV19" s="21">
        <f t="shared" si="37"/>
        <v>11.46</v>
      </c>
      <c r="AW19" s="21">
        <f t="shared" si="38"/>
        <v>11.85</v>
      </c>
      <c r="AX19" s="21">
        <f t="shared" si="4"/>
        <v>139.48999999999998</v>
      </c>
      <c r="AY19" s="21">
        <f t="shared" si="5"/>
        <v>424.58</v>
      </c>
      <c r="AZ19" s="21">
        <f t="shared" si="39"/>
        <v>11.85</v>
      </c>
      <c r="BA19" s="21">
        <f t="shared" si="40"/>
        <v>10.7</v>
      </c>
      <c r="BB19" s="21">
        <f t="shared" si="41"/>
        <v>11.85</v>
      </c>
      <c r="BC19" s="21">
        <f t="shared" si="42"/>
        <v>11.46</v>
      </c>
      <c r="BD19" s="21">
        <f t="shared" si="43"/>
        <v>11.85</v>
      </c>
      <c r="BE19" s="21">
        <f t="shared" si="44"/>
        <v>11.46</v>
      </c>
      <c r="BF19" s="21">
        <f t="shared" si="45"/>
        <v>11.85</v>
      </c>
      <c r="BG19" s="21">
        <f t="shared" si="46"/>
        <v>11.85</v>
      </c>
      <c r="BH19" s="21">
        <f t="shared" si="47"/>
        <v>11.46</v>
      </c>
      <c r="BI19" s="21">
        <f t="shared" si="48"/>
        <v>11.85</v>
      </c>
      <c r="BJ19" s="21">
        <f t="shared" si="49"/>
        <v>11.46</v>
      </c>
      <c r="BK19" s="21">
        <f t="shared" si="50"/>
        <v>11.85</v>
      </c>
      <c r="BL19" s="21">
        <f t="shared" si="6"/>
        <v>139.48999999999998</v>
      </c>
      <c r="BM19" s="21">
        <f t="shared" si="7"/>
        <v>564.07000000000005</v>
      </c>
      <c r="BN19" s="21">
        <f t="shared" si="51"/>
        <v>11.85</v>
      </c>
      <c r="BO19" s="21">
        <f t="shared" si="52"/>
        <v>10.7</v>
      </c>
      <c r="BP19" s="21">
        <f t="shared" si="53"/>
        <v>11.85</v>
      </c>
      <c r="BQ19" s="21">
        <f t="shared" si="54"/>
        <v>11.46</v>
      </c>
      <c r="BR19" s="21">
        <f t="shared" si="55"/>
        <v>11.85</v>
      </c>
      <c r="BS19" s="21">
        <f t="shared" si="56"/>
        <v>11.46</v>
      </c>
      <c r="BT19" s="21">
        <f t="shared" si="57"/>
        <v>11.85</v>
      </c>
      <c r="BU19" s="21">
        <f t="shared" si="58"/>
        <v>11.85</v>
      </c>
      <c r="BV19" s="21">
        <f t="shared" si="59"/>
        <v>11.46</v>
      </c>
      <c r="BW19" s="21">
        <f t="shared" si="60"/>
        <v>11.85</v>
      </c>
      <c r="BX19" s="21">
        <f t="shared" si="61"/>
        <v>11.46</v>
      </c>
      <c r="BY19" s="21">
        <f t="shared" si="62"/>
        <v>11.85</v>
      </c>
      <c r="BZ19" s="21">
        <f t="shared" si="8"/>
        <v>139.48999999999998</v>
      </c>
      <c r="CA19" s="21">
        <f t="shared" si="9"/>
        <v>703.56</v>
      </c>
      <c r="CB19" s="21">
        <f t="shared" si="63"/>
        <v>11.85</v>
      </c>
      <c r="CC19" s="21">
        <f t="shared" si="64"/>
        <v>11.08</v>
      </c>
      <c r="CD19" s="21">
        <f t="shared" si="65"/>
        <v>11.85</v>
      </c>
      <c r="CE19" s="21">
        <f t="shared" si="66"/>
        <v>11.46</v>
      </c>
      <c r="CF19" s="21">
        <f t="shared" si="67"/>
        <v>11.85</v>
      </c>
      <c r="CG19" s="21">
        <f t="shared" si="68"/>
        <v>11.46</v>
      </c>
      <c r="CH19" s="21">
        <f t="shared" si="69"/>
        <v>11.85</v>
      </c>
      <c r="CI19" s="21">
        <f t="shared" si="70"/>
        <v>11.85</v>
      </c>
      <c r="CJ19" s="21">
        <f t="shared" si="71"/>
        <v>11.46</v>
      </c>
      <c r="CK19" s="21">
        <f t="shared" si="72"/>
        <v>11.85</v>
      </c>
      <c r="CL19" s="21">
        <f t="shared" si="73"/>
        <v>11.46</v>
      </c>
      <c r="CM19" s="21">
        <f t="shared" si="74"/>
        <v>11.85</v>
      </c>
      <c r="CN19" s="21">
        <f t="shared" si="10"/>
        <v>139.87</v>
      </c>
      <c r="CO19" s="26">
        <f t="shared" si="11"/>
        <v>843.43</v>
      </c>
      <c r="CP19" s="21">
        <f t="shared" si="75"/>
        <v>11.85</v>
      </c>
      <c r="CQ19" s="21">
        <f t="shared" si="76"/>
        <v>10.7</v>
      </c>
      <c r="CR19" s="21">
        <f t="shared" si="77"/>
        <v>11.85</v>
      </c>
      <c r="CS19" s="21">
        <f t="shared" si="78"/>
        <v>11.46</v>
      </c>
      <c r="CT19" s="27">
        <f t="shared" si="79"/>
        <v>11.85</v>
      </c>
      <c r="CU19" s="21">
        <f t="shared" si="80"/>
        <v>11.46</v>
      </c>
      <c r="CV19" s="21">
        <f t="shared" si="81"/>
        <v>11.85</v>
      </c>
      <c r="CW19" s="21">
        <f t="shared" si="82"/>
        <v>11.85</v>
      </c>
      <c r="CX19" s="21">
        <f t="shared" si="83"/>
        <v>11.46</v>
      </c>
      <c r="CY19" s="21">
        <f t="shared" si="84"/>
        <v>11.85</v>
      </c>
      <c r="CZ19" s="21">
        <f t="shared" si="85"/>
        <v>11.46</v>
      </c>
      <c r="DA19" s="21">
        <f t="shared" si="86"/>
        <v>11.85</v>
      </c>
      <c r="DB19" s="26">
        <f t="shared" si="12"/>
        <v>139.48999999999998</v>
      </c>
      <c r="DC19" s="26">
        <f t="shared" si="13"/>
        <v>982.92</v>
      </c>
      <c r="DD19" s="21">
        <f t="shared" si="87"/>
        <v>11.85</v>
      </c>
      <c r="DE19" s="21">
        <f t="shared" si="90"/>
        <v>10.7</v>
      </c>
      <c r="DF19" s="21">
        <f t="shared" si="91"/>
        <v>11.85</v>
      </c>
      <c r="DG19" s="21">
        <f t="shared" si="92"/>
        <v>11.46</v>
      </c>
      <c r="DH19" s="21">
        <f t="shared" si="93"/>
        <v>11.85</v>
      </c>
      <c r="DI19" s="21">
        <f t="shared" si="94"/>
        <v>11.46</v>
      </c>
      <c r="DJ19" s="26"/>
      <c r="DK19" s="26"/>
      <c r="DL19" s="26"/>
      <c r="DM19" s="26"/>
      <c r="DN19" s="26"/>
      <c r="DO19" s="26"/>
      <c r="DP19" s="26">
        <f t="shared" si="95"/>
        <v>69.17</v>
      </c>
      <c r="DQ19" s="21">
        <f t="shared" si="88"/>
        <v>1052.0899999999999</v>
      </c>
      <c r="DR19" s="21">
        <f t="shared" si="89"/>
        <v>2060.1800000000003</v>
      </c>
    </row>
    <row r="20" spans="2:129" ht="36" customHeight="1">
      <c r="B20" s="23" t="s">
        <v>78</v>
      </c>
      <c r="C20" s="19" t="s">
        <v>79</v>
      </c>
      <c r="D20" s="24" t="s">
        <v>80</v>
      </c>
      <c r="E20" s="25"/>
      <c r="F20" s="25"/>
      <c r="G20" s="21">
        <v>32994.699999999997</v>
      </c>
      <c r="H20" s="21">
        <f t="shared" si="0"/>
        <v>3299.47</v>
      </c>
      <c r="I20" s="21">
        <f t="shared" si="1"/>
        <v>29695.23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>
        <v>4.05</v>
      </c>
      <c r="W20" s="21">
        <f t="shared" si="14"/>
        <v>4.05</v>
      </c>
      <c r="X20" s="21">
        <f t="shared" si="15"/>
        <v>125.59</v>
      </c>
      <c r="Y20" s="21">
        <f t="shared" si="16"/>
        <v>117.48</v>
      </c>
      <c r="Z20" s="21">
        <f t="shared" si="17"/>
        <v>125.59</v>
      </c>
      <c r="AA20" s="21">
        <f t="shared" si="18"/>
        <v>121.54</v>
      </c>
      <c r="AB20" s="21">
        <f t="shared" si="19"/>
        <v>125.59</v>
      </c>
      <c r="AC20" s="21">
        <f t="shared" si="20"/>
        <v>121.54</v>
      </c>
      <c r="AD20" s="21">
        <f t="shared" si="21"/>
        <v>125.59</v>
      </c>
      <c r="AE20" s="21">
        <f t="shared" si="22"/>
        <v>125.59</v>
      </c>
      <c r="AF20" s="21">
        <f t="shared" si="23"/>
        <v>121.54</v>
      </c>
      <c r="AG20" s="21">
        <f t="shared" si="24"/>
        <v>125.59</v>
      </c>
      <c r="AH20" s="21">
        <f t="shared" si="25"/>
        <v>121.54</v>
      </c>
      <c r="AI20" s="21">
        <f t="shared" si="26"/>
        <v>125.59</v>
      </c>
      <c r="AJ20" s="21">
        <f t="shared" si="2"/>
        <v>1482.7699999999998</v>
      </c>
      <c r="AK20" s="21">
        <f t="shared" si="3"/>
        <v>1486.82</v>
      </c>
      <c r="AL20" s="21">
        <f t="shared" si="27"/>
        <v>125.59</v>
      </c>
      <c r="AM20" s="21">
        <f t="shared" si="28"/>
        <v>113.43</v>
      </c>
      <c r="AN20" s="21">
        <f t="shared" si="29"/>
        <v>125.59</v>
      </c>
      <c r="AO20" s="21">
        <f t="shared" si="30"/>
        <v>121.54</v>
      </c>
      <c r="AP20" s="21">
        <f t="shared" si="31"/>
        <v>125.59</v>
      </c>
      <c r="AQ20" s="21">
        <f t="shared" si="32"/>
        <v>121.54</v>
      </c>
      <c r="AR20" s="21">
        <f t="shared" si="33"/>
        <v>125.59</v>
      </c>
      <c r="AS20" s="21">
        <f t="shared" si="34"/>
        <v>125.59</v>
      </c>
      <c r="AT20" s="21">
        <f t="shared" si="35"/>
        <v>121.54</v>
      </c>
      <c r="AU20" s="21">
        <f t="shared" si="36"/>
        <v>125.59</v>
      </c>
      <c r="AV20" s="21">
        <f t="shared" si="37"/>
        <v>121.54</v>
      </c>
      <c r="AW20" s="21">
        <f t="shared" si="38"/>
        <v>125.59</v>
      </c>
      <c r="AX20" s="21">
        <f t="shared" si="4"/>
        <v>1478.7199999999998</v>
      </c>
      <c r="AY20" s="21">
        <f t="shared" si="5"/>
        <v>2965.54</v>
      </c>
      <c r="AZ20" s="21">
        <f t="shared" si="39"/>
        <v>125.59</v>
      </c>
      <c r="BA20" s="21">
        <f t="shared" si="40"/>
        <v>113.43</v>
      </c>
      <c r="BB20" s="21">
        <f t="shared" si="41"/>
        <v>125.59</v>
      </c>
      <c r="BC20" s="21">
        <f t="shared" si="42"/>
        <v>121.54</v>
      </c>
      <c r="BD20" s="21">
        <f t="shared" si="43"/>
        <v>125.59</v>
      </c>
      <c r="BE20" s="21">
        <f t="shared" si="44"/>
        <v>121.54</v>
      </c>
      <c r="BF20" s="21">
        <f t="shared" si="45"/>
        <v>125.59</v>
      </c>
      <c r="BG20" s="21">
        <f t="shared" si="46"/>
        <v>125.59</v>
      </c>
      <c r="BH20" s="21">
        <f t="shared" si="47"/>
        <v>121.54</v>
      </c>
      <c r="BI20" s="21">
        <f t="shared" si="48"/>
        <v>125.59</v>
      </c>
      <c r="BJ20" s="21">
        <f t="shared" si="49"/>
        <v>121.54</v>
      </c>
      <c r="BK20" s="21">
        <f t="shared" si="50"/>
        <v>125.59</v>
      </c>
      <c r="BL20" s="21">
        <f t="shared" si="6"/>
        <v>1478.7199999999998</v>
      </c>
      <c r="BM20" s="21">
        <f t="shared" si="7"/>
        <v>4444.26</v>
      </c>
      <c r="BN20" s="21">
        <f t="shared" si="51"/>
        <v>125.59</v>
      </c>
      <c r="BO20" s="21">
        <f t="shared" si="52"/>
        <v>113.43</v>
      </c>
      <c r="BP20" s="21">
        <f t="shared" si="53"/>
        <v>125.59</v>
      </c>
      <c r="BQ20" s="21">
        <f t="shared" si="54"/>
        <v>121.54</v>
      </c>
      <c r="BR20" s="21">
        <f t="shared" si="55"/>
        <v>125.59</v>
      </c>
      <c r="BS20" s="21">
        <f t="shared" si="56"/>
        <v>121.54</v>
      </c>
      <c r="BT20" s="21">
        <f t="shared" si="57"/>
        <v>125.59</v>
      </c>
      <c r="BU20" s="21">
        <f t="shared" si="58"/>
        <v>125.59</v>
      </c>
      <c r="BV20" s="21">
        <f t="shared" si="59"/>
        <v>121.54</v>
      </c>
      <c r="BW20" s="21">
        <f t="shared" si="60"/>
        <v>125.59</v>
      </c>
      <c r="BX20" s="21">
        <f t="shared" si="61"/>
        <v>121.54</v>
      </c>
      <c r="BY20" s="21">
        <f t="shared" si="62"/>
        <v>125.59</v>
      </c>
      <c r="BZ20" s="21">
        <f t="shared" si="8"/>
        <v>1478.7199999999998</v>
      </c>
      <c r="CA20" s="21">
        <f t="shared" si="9"/>
        <v>5922.98</v>
      </c>
      <c r="CB20" s="21">
        <f t="shared" si="63"/>
        <v>125.59</v>
      </c>
      <c r="CC20" s="21">
        <f t="shared" si="64"/>
        <v>117.48</v>
      </c>
      <c r="CD20" s="21">
        <f t="shared" si="65"/>
        <v>125.59</v>
      </c>
      <c r="CE20" s="21">
        <f t="shared" si="66"/>
        <v>121.54</v>
      </c>
      <c r="CF20" s="21">
        <f t="shared" si="67"/>
        <v>125.59</v>
      </c>
      <c r="CG20" s="21">
        <f t="shared" si="68"/>
        <v>121.54</v>
      </c>
      <c r="CH20" s="21">
        <f t="shared" si="69"/>
        <v>125.59</v>
      </c>
      <c r="CI20" s="21">
        <f t="shared" si="70"/>
        <v>125.59</v>
      </c>
      <c r="CJ20" s="21">
        <f t="shared" si="71"/>
        <v>121.54</v>
      </c>
      <c r="CK20" s="21">
        <f t="shared" si="72"/>
        <v>125.59</v>
      </c>
      <c r="CL20" s="21">
        <f t="shared" si="73"/>
        <v>121.54</v>
      </c>
      <c r="CM20" s="21">
        <f t="shared" si="74"/>
        <v>125.59</v>
      </c>
      <c r="CN20" s="21">
        <f t="shared" si="10"/>
        <v>1482.7699999999998</v>
      </c>
      <c r="CO20" s="26">
        <f t="shared" si="11"/>
        <v>7405.75</v>
      </c>
      <c r="CP20" s="21">
        <f t="shared" si="75"/>
        <v>125.59</v>
      </c>
      <c r="CQ20" s="21">
        <f t="shared" si="76"/>
        <v>113.43</v>
      </c>
      <c r="CR20" s="21">
        <f t="shared" si="77"/>
        <v>125.59</v>
      </c>
      <c r="CS20" s="21">
        <f t="shared" si="78"/>
        <v>121.54</v>
      </c>
      <c r="CT20" s="27">
        <f t="shared" si="79"/>
        <v>125.59</v>
      </c>
      <c r="CU20" s="21">
        <f t="shared" si="80"/>
        <v>121.54</v>
      </c>
      <c r="CV20" s="21">
        <f t="shared" si="81"/>
        <v>125.59</v>
      </c>
      <c r="CW20" s="21">
        <f t="shared" si="82"/>
        <v>125.59</v>
      </c>
      <c r="CX20" s="21">
        <f t="shared" si="83"/>
        <v>121.54</v>
      </c>
      <c r="CY20" s="21">
        <f t="shared" si="84"/>
        <v>125.59</v>
      </c>
      <c r="CZ20" s="21">
        <f t="shared" si="85"/>
        <v>121.54</v>
      </c>
      <c r="DA20" s="21">
        <f t="shared" si="86"/>
        <v>125.59</v>
      </c>
      <c r="DB20" s="26">
        <f t="shared" si="12"/>
        <v>1478.7199999999998</v>
      </c>
      <c r="DC20" s="26">
        <f t="shared" si="13"/>
        <v>8884.4699999999993</v>
      </c>
      <c r="DD20" s="21">
        <f t="shared" si="87"/>
        <v>125.59</v>
      </c>
      <c r="DE20" s="21">
        <f t="shared" si="90"/>
        <v>113.43</v>
      </c>
      <c r="DF20" s="21">
        <f t="shared" si="91"/>
        <v>125.59</v>
      </c>
      <c r="DG20" s="21">
        <f t="shared" si="92"/>
        <v>121.54</v>
      </c>
      <c r="DH20" s="21">
        <f t="shared" si="93"/>
        <v>125.59</v>
      </c>
      <c r="DI20" s="21">
        <f t="shared" si="94"/>
        <v>121.54</v>
      </c>
      <c r="DJ20" s="26"/>
      <c r="DK20" s="26"/>
      <c r="DL20" s="26"/>
      <c r="DM20" s="26"/>
      <c r="DN20" s="26"/>
      <c r="DO20" s="26"/>
      <c r="DP20" s="26">
        <f t="shared" si="95"/>
        <v>733.28</v>
      </c>
      <c r="DQ20" s="21">
        <f t="shared" si="88"/>
        <v>9617.75</v>
      </c>
      <c r="DR20" s="21">
        <f t="shared" si="89"/>
        <v>23376.949999999997</v>
      </c>
    </row>
    <row r="21" spans="2:129" ht="36" customHeight="1">
      <c r="B21" s="23" t="s">
        <v>81</v>
      </c>
      <c r="C21" s="19" t="s">
        <v>82</v>
      </c>
      <c r="D21" s="24" t="s">
        <v>83</v>
      </c>
      <c r="E21" s="25"/>
      <c r="F21" s="25"/>
      <c r="G21" s="21">
        <v>3154.96</v>
      </c>
      <c r="H21" s="21">
        <f t="shared" si="0"/>
        <v>315.5</v>
      </c>
      <c r="I21" s="21">
        <f t="shared" si="1"/>
        <v>2839.4639999999999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>
        <f t="shared" si="14"/>
        <v>0</v>
      </c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>
        <f>ROUND((I21/7330*7),2)</f>
        <v>2.71</v>
      </c>
      <c r="AI21" s="21">
        <f t="shared" si="26"/>
        <v>12.01</v>
      </c>
      <c r="AJ21" s="21">
        <f t="shared" si="2"/>
        <v>14.719999999999999</v>
      </c>
      <c r="AK21" s="21">
        <f t="shared" si="3"/>
        <v>14.72</v>
      </c>
      <c r="AL21" s="21">
        <f t="shared" si="27"/>
        <v>12.01</v>
      </c>
      <c r="AM21" s="21">
        <f t="shared" si="28"/>
        <v>10.85</v>
      </c>
      <c r="AN21" s="21">
        <f t="shared" si="29"/>
        <v>12.01</v>
      </c>
      <c r="AO21" s="21">
        <f t="shared" si="30"/>
        <v>11.62</v>
      </c>
      <c r="AP21" s="21">
        <f t="shared" si="31"/>
        <v>12.01</v>
      </c>
      <c r="AQ21" s="21">
        <f t="shared" si="32"/>
        <v>11.62</v>
      </c>
      <c r="AR21" s="21">
        <f t="shared" si="33"/>
        <v>12.01</v>
      </c>
      <c r="AS21" s="21">
        <f t="shared" si="34"/>
        <v>12.01</v>
      </c>
      <c r="AT21" s="21">
        <f t="shared" si="35"/>
        <v>11.62</v>
      </c>
      <c r="AU21" s="21">
        <f t="shared" si="36"/>
        <v>12.01</v>
      </c>
      <c r="AV21" s="21">
        <f t="shared" si="37"/>
        <v>11.62</v>
      </c>
      <c r="AW21" s="21">
        <f t="shared" si="38"/>
        <v>12.01</v>
      </c>
      <c r="AX21" s="21">
        <f t="shared" si="4"/>
        <v>141.4</v>
      </c>
      <c r="AY21" s="21">
        <f t="shared" si="5"/>
        <v>156.12</v>
      </c>
      <c r="AZ21" s="21">
        <f t="shared" si="39"/>
        <v>12.01</v>
      </c>
      <c r="BA21" s="21">
        <f t="shared" si="40"/>
        <v>10.85</v>
      </c>
      <c r="BB21" s="21">
        <f t="shared" si="41"/>
        <v>12.01</v>
      </c>
      <c r="BC21" s="21">
        <f t="shared" si="42"/>
        <v>11.62</v>
      </c>
      <c r="BD21" s="21">
        <f t="shared" si="43"/>
        <v>12.01</v>
      </c>
      <c r="BE21" s="21">
        <f t="shared" si="44"/>
        <v>11.62</v>
      </c>
      <c r="BF21" s="21">
        <f t="shared" si="45"/>
        <v>12.01</v>
      </c>
      <c r="BG21" s="21">
        <f t="shared" si="46"/>
        <v>12.01</v>
      </c>
      <c r="BH21" s="21">
        <f t="shared" si="47"/>
        <v>11.62</v>
      </c>
      <c r="BI21" s="21">
        <f t="shared" si="48"/>
        <v>12.01</v>
      </c>
      <c r="BJ21" s="21">
        <f t="shared" si="49"/>
        <v>11.62</v>
      </c>
      <c r="BK21" s="21">
        <f t="shared" si="50"/>
        <v>12.01</v>
      </c>
      <c r="BL21" s="21">
        <f t="shared" si="6"/>
        <v>141.4</v>
      </c>
      <c r="BM21" s="21">
        <f t="shared" si="7"/>
        <v>297.52</v>
      </c>
      <c r="BN21" s="21">
        <f t="shared" si="51"/>
        <v>12.01</v>
      </c>
      <c r="BO21" s="21">
        <f t="shared" si="52"/>
        <v>10.85</v>
      </c>
      <c r="BP21" s="21">
        <f t="shared" si="53"/>
        <v>12.01</v>
      </c>
      <c r="BQ21" s="21">
        <f t="shared" si="54"/>
        <v>11.62</v>
      </c>
      <c r="BR21" s="21">
        <f t="shared" si="55"/>
        <v>12.01</v>
      </c>
      <c r="BS21" s="21">
        <f t="shared" si="56"/>
        <v>11.62</v>
      </c>
      <c r="BT21" s="21">
        <f t="shared" si="57"/>
        <v>12.01</v>
      </c>
      <c r="BU21" s="21">
        <f t="shared" si="58"/>
        <v>12.01</v>
      </c>
      <c r="BV21" s="21">
        <f t="shared" si="59"/>
        <v>11.62</v>
      </c>
      <c r="BW21" s="21">
        <f t="shared" si="60"/>
        <v>12.01</v>
      </c>
      <c r="BX21" s="21">
        <f t="shared" si="61"/>
        <v>11.62</v>
      </c>
      <c r="BY21" s="21">
        <f t="shared" si="62"/>
        <v>12.01</v>
      </c>
      <c r="BZ21" s="21">
        <f t="shared" si="8"/>
        <v>141.4</v>
      </c>
      <c r="CA21" s="21">
        <f t="shared" si="9"/>
        <v>438.92</v>
      </c>
      <c r="CB21" s="21">
        <f t="shared" si="63"/>
        <v>12.01</v>
      </c>
      <c r="CC21" s="21">
        <f t="shared" si="64"/>
        <v>11.23</v>
      </c>
      <c r="CD21" s="21">
        <f t="shared" si="65"/>
        <v>12.01</v>
      </c>
      <c r="CE21" s="21">
        <f t="shared" si="66"/>
        <v>11.62</v>
      </c>
      <c r="CF21" s="21">
        <f t="shared" si="67"/>
        <v>12.01</v>
      </c>
      <c r="CG21" s="21">
        <f t="shared" si="68"/>
        <v>11.62</v>
      </c>
      <c r="CH21" s="21">
        <f t="shared" si="69"/>
        <v>12.01</v>
      </c>
      <c r="CI21" s="21">
        <f t="shared" si="70"/>
        <v>12.01</v>
      </c>
      <c r="CJ21" s="21">
        <f t="shared" si="71"/>
        <v>11.62</v>
      </c>
      <c r="CK21" s="21">
        <f t="shared" si="72"/>
        <v>12.01</v>
      </c>
      <c r="CL21" s="21">
        <f t="shared" si="73"/>
        <v>11.62</v>
      </c>
      <c r="CM21" s="21">
        <f t="shared" si="74"/>
        <v>12.01</v>
      </c>
      <c r="CN21" s="21">
        <f t="shared" si="10"/>
        <v>141.78</v>
      </c>
      <c r="CO21" s="26">
        <f t="shared" si="11"/>
        <v>580.70000000000005</v>
      </c>
      <c r="CP21" s="21">
        <f t="shared" si="75"/>
        <v>12.01</v>
      </c>
      <c r="CQ21" s="21">
        <f t="shared" si="76"/>
        <v>10.85</v>
      </c>
      <c r="CR21" s="21">
        <f t="shared" si="77"/>
        <v>12.01</v>
      </c>
      <c r="CS21" s="21">
        <f t="shared" si="78"/>
        <v>11.62</v>
      </c>
      <c r="CT21" s="27">
        <f t="shared" si="79"/>
        <v>12.01</v>
      </c>
      <c r="CU21" s="21">
        <f t="shared" si="80"/>
        <v>11.62</v>
      </c>
      <c r="CV21" s="21">
        <f t="shared" si="81"/>
        <v>12.01</v>
      </c>
      <c r="CW21" s="21">
        <f t="shared" si="82"/>
        <v>12.01</v>
      </c>
      <c r="CX21" s="21">
        <f t="shared" si="83"/>
        <v>11.62</v>
      </c>
      <c r="CY21" s="21">
        <f t="shared" si="84"/>
        <v>12.01</v>
      </c>
      <c r="CZ21" s="21">
        <f t="shared" si="85"/>
        <v>11.62</v>
      </c>
      <c r="DA21" s="21">
        <f t="shared" si="86"/>
        <v>12.01</v>
      </c>
      <c r="DB21" s="26">
        <f t="shared" si="12"/>
        <v>141.4</v>
      </c>
      <c r="DC21" s="26">
        <f t="shared" si="13"/>
        <v>722.1</v>
      </c>
      <c r="DD21" s="21">
        <f t="shared" si="87"/>
        <v>12.01</v>
      </c>
      <c r="DE21" s="21">
        <f t="shared" si="90"/>
        <v>10.85</v>
      </c>
      <c r="DF21" s="21">
        <f t="shared" si="91"/>
        <v>12.01</v>
      </c>
      <c r="DG21" s="21">
        <f t="shared" si="92"/>
        <v>11.62</v>
      </c>
      <c r="DH21" s="21">
        <f t="shared" si="93"/>
        <v>12.01</v>
      </c>
      <c r="DI21" s="21">
        <f t="shared" si="94"/>
        <v>11.62</v>
      </c>
      <c r="DJ21" s="26"/>
      <c r="DK21" s="26"/>
      <c r="DL21" s="26"/>
      <c r="DM21" s="26"/>
      <c r="DN21" s="26"/>
      <c r="DO21" s="26"/>
      <c r="DP21" s="26">
        <f t="shared" si="95"/>
        <v>70.11999999999999</v>
      </c>
      <c r="DQ21" s="21">
        <f t="shared" si="88"/>
        <v>792.22</v>
      </c>
      <c r="DR21" s="21">
        <f t="shared" si="89"/>
        <v>2362.7399999999998</v>
      </c>
    </row>
    <row r="22" spans="2:129" ht="26.25" customHeight="1">
      <c r="B22" s="23" t="s">
        <v>84</v>
      </c>
      <c r="C22" s="19" t="s">
        <v>85</v>
      </c>
      <c r="D22" s="19" t="s">
        <v>86</v>
      </c>
      <c r="E22" s="25"/>
      <c r="F22" s="25"/>
      <c r="G22" s="21">
        <v>2361.6999999999998</v>
      </c>
      <c r="H22" s="21">
        <f t="shared" si="0"/>
        <v>236.17</v>
      </c>
      <c r="I22" s="21">
        <f t="shared" si="1"/>
        <v>2125.5299999999997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>
        <v>0</v>
      </c>
      <c r="BW22" s="21">
        <f>ROUND((I22/7330*12),2)</f>
        <v>3.48</v>
      </c>
      <c r="BX22" s="21">
        <f t="shared" si="61"/>
        <v>8.6999999999999993</v>
      </c>
      <c r="BY22" s="21">
        <f t="shared" si="62"/>
        <v>8.99</v>
      </c>
      <c r="BZ22" s="21">
        <f t="shared" si="8"/>
        <v>21.17</v>
      </c>
      <c r="CA22" s="21">
        <f t="shared" si="9"/>
        <v>21.17</v>
      </c>
      <c r="CB22" s="21">
        <f t="shared" si="63"/>
        <v>8.99</v>
      </c>
      <c r="CC22" s="21">
        <f t="shared" si="64"/>
        <v>8.41</v>
      </c>
      <c r="CD22" s="21">
        <f t="shared" si="65"/>
        <v>8.99</v>
      </c>
      <c r="CE22" s="21">
        <f t="shared" si="66"/>
        <v>8.6999999999999993</v>
      </c>
      <c r="CF22" s="21">
        <f t="shared" si="67"/>
        <v>8.99</v>
      </c>
      <c r="CG22" s="21">
        <f t="shared" si="68"/>
        <v>8.6999999999999993</v>
      </c>
      <c r="CH22" s="21">
        <f t="shared" si="69"/>
        <v>8.99</v>
      </c>
      <c r="CI22" s="21">
        <f t="shared" si="70"/>
        <v>8.99</v>
      </c>
      <c r="CJ22" s="21">
        <f t="shared" si="71"/>
        <v>8.6999999999999993</v>
      </c>
      <c r="CK22" s="21">
        <f t="shared" si="72"/>
        <v>8.99</v>
      </c>
      <c r="CL22" s="21">
        <f t="shared" si="73"/>
        <v>8.6999999999999993</v>
      </c>
      <c r="CM22" s="21">
        <f t="shared" si="74"/>
        <v>8.99</v>
      </c>
      <c r="CN22" s="21">
        <f t="shared" si="10"/>
        <v>106.14</v>
      </c>
      <c r="CO22" s="26">
        <f t="shared" si="11"/>
        <v>127.31</v>
      </c>
      <c r="CP22" s="21">
        <f t="shared" si="75"/>
        <v>8.99</v>
      </c>
      <c r="CQ22" s="21">
        <f t="shared" si="76"/>
        <v>8.1199999999999992</v>
      </c>
      <c r="CR22" s="21">
        <f t="shared" si="77"/>
        <v>8.99</v>
      </c>
      <c r="CS22" s="21">
        <f t="shared" si="78"/>
        <v>8.6999999999999993</v>
      </c>
      <c r="CT22" s="27">
        <f t="shared" si="79"/>
        <v>8.99</v>
      </c>
      <c r="CU22" s="21">
        <f t="shared" si="80"/>
        <v>8.6999999999999993</v>
      </c>
      <c r="CV22" s="21">
        <f t="shared" si="81"/>
        <v>8.99</v>
      </c>
      <c r="CW22" s="21">
        <f t="shared" si="82"/>
        <v>8.99</v>
      </c>
      <c r="CX22" s="21">
        <f t="shared" si="83"/>
        <v>8.6999999999999993</v>
      </c>
      <c r="CY22" s="21">
        <f t="shared" si="84"/>
        <v>8.99</v>
      </c>
      <c r="CZ22" s="21">
        <f t="shared" si="85"/>
        <v>8.6999999999999993</v>
      </c>
      <c r="DA22" s="21">
        <f t="shared" si="86"/>
        <v>8.99</v>
      </c>
      <c r="DB22" s="26">
        <f t="shared" si="12"/>
        <v>105.85</v>
      </c>
      <c r="DC22" s="26">
        <f t="shared" si="13"/>
        <v>233.16</v>
      </c>
      <c r="DD22" s="21">
        <f t="shared" si="87"/>
        <v>8.99</v>
      </c>
      <c r="DE22" s="21">
        <f t="shared" si="90"/>
        <v>8.1199999999999992</v>
      </c>
      <c r="DF22" s="21">
        <f t="shared" si="91"/>
        <v>8.99</v>
      </c>
      <c r="DG22" s="21">
        <f t="shared" si="92"/>
        <v>8.6999999999999993</v>
      </c>
      <c r="DH22" s="21">
        <f t="shared" si="93"/>
        <v>8.99</v>
      </c>
      <c r="DI22" s="21">
        <f t="shared" si="94"/>
        <v>8.6999999999999993</v>
      </c>
      <c r="DJ22" s="26"/>
      <c r="DK22" s="26"/>
      <c r="DL22" s="26"/>
      <c r="DM22" s="26"/>
      <c r="DN22" s="26"/>
      <c r="DO22" s="26"/>
      <c r="DP22" s="26">
        <f t="shared" si="95"/>
        <v>52.489999999999995</v>
      </c>
      <c r="DQ22" s="21">
        <f t="shared" si="88"/>
        <v>285.64999999999998</v>
      </c>
      <c r="DR22" s="21">
        <f t="shared" si="89"/>
        <v>2076.0499999999997</v>
      </c>
    </row>
    <row r="23" spans="2:129" ht="77.25" customHeight="1">
      <c r="B23" s="23" t="s">
        <v>87</v>
      </c>
      <c r="C23" s="19" t="s">
        <v>88</v>
      </c>
      <c r="D23" s="19" t="s">
        <v>89</v>
      </c>
      <c r="E23" s="28"/>
      <c r="F23" s="28"/>
      <c r="G23" s="21">
        <v>4868.6000000000004</v>
      </c>
      <c r="H23" s="21">
        <f t="shared" si="0"/>
        <v>486.86</v>
      </c>
      <c r="I23" s="21">
        <f t="shared" si="1"/>
        <v>4381.7400000000007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27"/>
      <c r="CU23" s="21">
        <f>ROUND((I23/7330*22),2)</f>
        <v>13.15</v>
      </c>
      <c r="CV23" s="21">
        <f t="shared" si="81"/>
        <v>18.53</v>
      </c>
      <c r="CW23" s="21">
        <f t="shared" si="82"/>
        <v>18.53</v>
      </c>
      <c r="CX23" s="21">
        <f t="shared" si="83"/>
        <v>17.93</v>
      </c>
      <c r="CY23" s="21">
        <f t="shared" si="84"/>
        <v>18.53</v>
      </c>
      <c r="CZ23" s="21">
        <f t="shared" si="85"/>
        <v>17.93</v>
      </c>
      <c r="DA23" s="21">
        <f t="shared" si="86"/>
        <v>18.53</v>
      </c>
      <c r="DB23" s="26">
        <f t="shared" si="12"/>
        <v>123.13</v>
      </c>
      <c r="DC23" s="26">
        <f t="shared" si="13"/>
        <v>123.13</v>
      </c>
      <c r="DD23" s="21">
        <f t="shared" si="87"/>
        <v>18.53</v>
      </c>
      <c r="DE23" s="21">
        <f t="shared" si="90"/>
        <v>16.739999999999998</v>
      </c>
      <c r="DF23" s="21">
        <f t="shared" si="91"/>
        <v>18.53</v>
      </c>
      <c r="DG23" s="21">
        <f t="shared" si="92"/>
        <v>17.93</v>
      </c>
      <c r="DH23" s="21">
        <f t="shared" si="93"/>
        <v>18.53</v>
      </c>
      <c r="DI23" s="21">
        <f t="shared" si="94"/>
        <v>17.93</v>
      </c>
      <c r="DJ23" s="26"/>
      <c r="DK23" s="26"/>
      <c r="DL23" s="26"/>
      <c r="DM23" s="26"/>
      <c r="DN23" s="26"/>
      <c r="DO23" s="26"/>
      <c r="DP23" s="26">
        <f t="shared" si="95"/>
        <v>108.19</v>
      </c>
      <c r="DQ23" s="21">
        <f t="shared" si="88"/>
        <v>231.32</v>
      </c>
      <c r="DR23" s="21">
        <f t="shared" si="89"/>
        <v>4637.2800000000007</v>
      </c>
    </row>
    <row r="24" spans="2:129" ht="18" customHeight="1">
      <c r="B24" s="29" t="s">
        <v>90</v>
      </c>
      <c r="C24" s="30"/>
      <c r="D24" s="31"/>
      <c r="E24" s="32"/>
      <c r="F24" s="32"/>
      <c r="G24" s="33">
        <f>SUM(G7:G23)</f>
        <v>1684439.3571428573</v>
      </c>
      <c r="H24" s="33">
        <f>SUM(H7:H23)</f>
        <v>168443.96</v>
      </c>
      <c r="I24" s="33">
        <f>SUM(I7:I23)</f>
        <v>1515995.4214285715</v>
      </c>
      <c r="J24" s="33">
        <f t="shared" ref="J24:O24" si="96">SUM(J7:J18)</f>
        <v>4893.1499999999996</v>
      </c>
      <c r="K24" s="33">
        <f t="shared" si="96"/>
        <v>9400.0300000000007</v>
      </c>
      <c r="L24" s="33">
        <f t="shared" si="96"/>
        <v>1074.29</v>
      </c>
      <c r="M24" s="33">
        <f t="shared" si="96"/>
        <v>1074.29</v>
      </c>
      <c r="N24" s="33">
        <f t="shared" si="96"/>
        <v>1074.29</v>
      </c>
      <c r="O24" s="33">
        <f t="shared" si="96"/>
        <v>1077.23</v>
      </c>
      <c r="P24" s="33">
        <f>SUM(P7:P20)</f>
        <v>3230.81</v>
      </c>
      <c r="Q24" s="33">
        <f>SUM(Q7:Q18)</f>
        <v>67743.28</v>
      </c>
      <c r="R24" s="33">
        <f>SUM(R7:R18)</f>
        <v>70523.569999999992</v>
      </c>
      <c r="S24" s="33">
        <f>SUM(S7:S18)</f>
        <v>71601.930000000022</v>
      </c>
      <c r="T24" s="33">
        <f>SUM(T7:T18)</f>
        <v>71789.81</v>
      </c>
      <c r="U24" s="33">
        <f>SUM(U7:U19)</f>
        <v>72346.109999999986</v>
      </c>
      <c r="V24" s="33">
        <f>SUM(V7:V20)</f>
        <v>72483.92</v>
      </c>
      <c r="W24" s="33">
        <f>SUM(W7:W21)</f>
        <v>435653.03999999986</v>
      </c>
      <c r="X24" s="33">
        <f t="shared" ref="X24:AG24" si="97">SUM(X7:X20)</f>
        <v>6281.4099999999989</v>
      </c>
      <c r="Y24" s="33">
        <f t="shared" si="97"/>
        <v>5876.17</v>
      </c>
      <c r="Z24" s="33">
        <f t="shared" si="97"/>
        <v>6281.4099999999989</v>
      </c>
      <c r="AA24" s="33">
        <f t="shared" si="97"/>
        <v>6078.7999999999993</v>
      </c>
      <c r="AB24" s="33">
        <f t="shared" si="97"/>
        <v>6281.4099999999989</v>
      </c>
      <c r="AC24" s="33">
        <f t="shared" si="97"/>
        <v>6078.7999999999993</v>
      </c>
      <c r="AD24" s="33">
        <f t="shared" si="97"/>
        <v>6281.4099999999989</v>
      </c>
      <c r="AE24" s="33">
        <f t="shared" si="97"/>
        <v>6281.4099999999989</v>
      </c>
      <c r="AF24" s="33">
        <f t="shared" si="97"/>
        <v>6078.7999999999993</v>
      </c>
      <c r="AG24" s="33">
        <f t="shared" si="97"/>
        <v>6281.4099999999989</v>
      </c>
      <c r="AH24" s="33">
        <f t="shared" ref="AH24:BU24" si="98">SUM(AH7:AH21)</f>
        <v>6081.5099999999993</v>
      </c>
      <c r="AI24" s="33">
        <f t="shared" si="98"/>
        <v>6293.4199999999992</v>
      </c>
      <c r="AJ24" s="33">
        <f t="shared" si="98"/>
        <v>74175.960000000021</v>
      </c>
      <c r="AK24" s="33">
        <f t="shared" si="98"/>
        <v>509829</v>
      </c>
      <c r="AL24" s="33">
        <f t="shared" si="98"/>
        <v>6293.4199999999992</v>
      </c>
      <c r="AM24" s="33">
        <f t="shared" si="98"/>
        <v>5684.369999999999</v>
      </c>
      <c r="AN24" s="33">
        <f t="shared" si="98"/>
        <v>6293.4199999999992</v>
      </c>
      <c r="AO24" s="33">
        <f t="shared" si="98"/>
        <v>6090.4199999999992</v>
      </c>
      <c r="AP24" s="33">
        <f t="shared" si="98"/>
        <v>6293.4199999999992</v>
      </c>
      <c r="AQ24" s="33">
        <f t="shared" si="98"/>
        <v>6090.4199999999992</v>
      </c>
      <c r="AR24" s="33">
        <f t="shared" si="98"/>
        <v>6293.4199999999992</v>
      </c>
      <c r="AS24" s="33">
        <f t="shared" si="98"/>
        <v>6293.4199999999992</v>
      </c>
      <c r="AT24" s="33">
        <f t="shared" si="98"/>
        <v>6090.4199999999992</v>
      </c>
      <c r="AU24" s="33">
        <f t="shared" si="98"/>
        <v>6293.4199999999992</v>
      </c>
      <c r="AV24" s="33">
        <f t="shared" si="98"/>
        <v>6090.4199999999992</v>
      </c>
      <c r="AW24" s="33">
        <f t="shared" si="98"/>
        <v>6293.4199999999992</v>
      </c>
      <c r="AX24" s="33">
        <f t="shared" si="98"/>
        <v>74099.990000000005</v>
      </c>
      <c r="AY24" s="33">
        <f t="shared" si="98"/>
        <v>583928.99</v>
      </c>
      <c r="AZ24" s="33">
        <f t="shared" si="98"/>
        <v>6293.4199999999992</v>
      </c>
      <c r="BA24" s="33">
        <f t="shared" si="98"/>
        <v>5684.369999999999</v>
      </c>
      <c r="BB24" s="33">
        <f t="shared" si="98"/>
        <v>6293.4199999999992</v>
      </c>
      <c r="BC24" s="33">
        <f t="shared" si="98"/>
        <v>6090.4199999999992</v>
      </c>
      <c r="BD24" s="33">
        <f t="shared" si="98"/>
        <v>6293.4199999999992</v>
      </c>
      <c r="BE24" s="33">
        <f t="shared" si="98"/>
        <v>6090.4199999999992</v>
      </c>
      <c r="BF24" s="33">
        <f t="shared" si="98"/>
        <v>6293.4199999999992</v>
      </c>
      <c r="BG24" s="33">
        <f t="shared" si="98"/>
        <v>6293.4199999999992</v>
      </c>
      <c r="BH24" s="33">
        <f t="shared" si="98"/>
        <v>6090.4199999999992</v>
      </c>
      <c r="BI24" s="33">
        <f t="shared" si="98"/>
        <v>6293.4199999999992</v>
      </c>
      <c r="BJ24" s="33">
        <f t="shared" si="98"/>
        <v>6090.4199999999992</v>
      </c>
      <c r="BK24" s="33">
        <f t="shared" si="98"/>
        <v>6293.4199999999992</v>
      </c>
      <c r="BL24" s="33">
        <f t="shared" si="98"/>
        <v>74099.990000000005</v>
      </c>
      <c r="BM24" s="33">
        <f t="shared" si="98"/>
        <v>658028.9800000001</v>
      </c>
      <c r="BN24" s="33">
        <f t="shared" si="98"/>
        <v>6293.4199999999992</v>
      </c>
      <c r="BO24" s="33">
        <f t="shared" si="98"/>
        <v>5684.369999999999</v>
      </c>
      <c r="BP24" s="33">
        <f t="shared" si="98"/>
        <v>6293.4199999999992</v>
      </c>
      <c r="BQ24" s="33">
        <f t="shared" si="98"/>
        <v>6090.4199999999992</v>
      </c>
      <c r="BR24" s="33">
        <f t="shared" si="98"/>
        <v>6293.4199999999992</v>
      </c>
      <c r="BS24" s="33">
        <f t="shared" si="98"/>
        <v>6090.4199999999992</v>
      </c>
      <c r="BT24" s="33">
        <f t="shared" si="98"/>
        <v>6293.4199999999992</v>
      </c>
      <c r="BU24" s="33">
        <f t="shared" si="98"/>
        <v>6293.4199999999992</v>
      </c>
      <c r="BV24" s="33">
        <f t="shared" ref="BV24:CN24" si="99">SUM(BV7:BV22)</f>
        <v>6090.4199999999992</v>
      </c>
      <c r="BW24" s="33">
        <f t="shared" si="99"/>
        <v>6296.8999999999987</v>
      </c>
      <c r="BX24" s="33">
        <f t="shared" si="99"/>
        <v>6099.119999999999</v>
      </c>
      <c r="BY24" s="33">
        <f t="shared" si="99"/>
        <v>6302.4099999999989</v>
      </c>
      <c r="BZ24" s="33">
        <f t="shared" si="99"/>
        <v>74121.16</v>
      </c>
      <c r="CA24" s="33">
        <f t="shared" si="99"/>
        <v>732150.14</v>
      </c>
      <c r="CB24" s="33">
        <f t="shared" si="99"/>
        <v>6302.4099999999989</v>
      </c>
      <c r="CC24" s="33">
        <f t="shared" si="99"/>
        <v>5895.8099999999995</v>
      </c>
      <c r="CD24" s="33">
        <f t="shared" si="99"/>
        <v>6302.4099999999989</v>
      </c>
      <c r="CE24" s="33">
        <f t="shared" si="99"/>
        <v>6099.119999999999</v>
      </c>
      <c r="CF24" s="33">
        <f t="shared" si="99"/>
        <v>6302.4099999999989</v>
      </c>
      <c r="CG24" s="33">
        <f t="shared" si="99"/>
        <v>6099.119999999999</v>
      </c>
      <c r="CH24" s="33">
        <f t="shared" si="99"/>
        <v>6302.4099999999989</v>
      </c>
      <c r="CI24" s="33">
        <f t="shared" si="99"/>
        <v>6302.4099999999989</v>
      </c>
      <c r="CJ24" s="33">
        <f t="shared" si="99"/>
        <v>6099.119999999999</v>
      </c>
      <c r="CK24" s="33">
        <f t="shared" si="99"/>
        <v>6302.4099999999989</v>
      </c>
      <c r="CL24" s="33">
        <f t="shared" si="99"/>
        <v>6099.119999999999</v>
      </c>
      <c r="CM24" s="33">
        <f t="shared" si="99"/>
        <v>6302.4099999999989</v>
      </c>
      <c r="CN24" s="33">
        <f t="shared" si="99"/>
        <v>74409.160000000018</v>
      </c>
      <c r="CO24" s="33"/>
      <c r="CP24" s="33">
        <f>SUM(CP7:CP22)</f>
        <v>6302.4099999999989</v>
      </c>
      <c r="CQ24" s="33">
        <f>SUM(CQ7:CQ22)</f>
        <v>5692.4899999999989</v>
      </c>
      <c r="CR24" s="33">
        <f>SUM(CR7:CR22)</f>
        <v>6302.4099999999989</v>
      </c>
      <c r="CS24" s="33">
        <f>SUM(CS7:CS22)</f>
        <v>6099.119999999999</v>
      </c>
      <c r="CT24" s="33">
        <f>SUM(CT7:CT22)</f>
        <v>6302.4099999999989</v>
      </c>
      <c r="CU24" s="33">
        <f t="shared" ref="CU24:DI24" si="100">SUM(CU7:CU23)</f>
        <v>6112.2699999999986</v>
      </c>
      <c r="CV24" s="33">
        <f t="shared" si="100"/>
        <v>6320.9399999999987</v>
      </c>
      <c r="CW24" s="33">
        <f t="shared" si="100"/>
        <v>6320.9399999999987</v>
      </c>
      <c r="CX24" s="33">
        <f t="shared" si="100"/>
        <v>6117.0499999999993</v>
      </c>
      <c r="CY24" s="33">
        <f t="shared" si="100"/>
        <v>6320.9399999999987</v>
      </c>
      <c r="CZ24" s="33">
        <f t="shared" si="100"/>
        <v>6117.0499999999993</v>
      </c>
      <c r="DA24" s="33">
        <f t="shared" si="100"/>
        <v>6320.9399999999987</v>
      </c>
      <c r="DB24" s="33">
        <f t="shared" si="100"/>
        <v>74328.970000000016</v>
      </c>
      <c r="DC24" s="33">
        <f t="shared" si="100"/>
        <v>880888.27</v>
      </c>
      <c r="DD24" s="33">
        <f t="shared" si="100"/>
        <v>6320.9399999999987</v>
      </c>
      <c r="DE24" s="33">
        <f t="shared" si="100"/>
        <v>5709.2299999999987</v>
      </c>
      <c r="DF24" s="33">
        <f t="shared" si="100"/>
        <v>6320.9399999999987</v>
      </c>
      <c r="DG24" s="33">
        <f t="shared" si="100"/>
        <v>6117.0499999999993</v>
      </c>
      <c r="DH24" s="33">
        <f t="shared" si="100"/>
        <v>6320.9399999999987</v>
      </c>
      <c r="DI24" s="33">
        <f t="shared" si="100"/>
        <v>6117.0499999999993</v>
      </c>
      <c r="DJ24" s="33"/>
      <c r="DK24" s="33"/>
      <c r="DL24" s="33"/>
      <c r="DM24" s="33"/>
      <c r="DN24" s="33"/>
      <c r="DO24" s="33"/>
      <c r="DP24" s="33">
        <f>SUM(DP7:DP23)</f>
        <v>36906.150000000009</v>
      </c>
      <c r="DQ24" s="33">
        <f>SUM(DQ7:DQ23)</f>
        <v>917794.41999999981</v>
      </c>
      <c r="DR24" s="33">
        <f>SUM(DR7:DR23)</f>
        <v>766644.93714285735</v>
      </c>
    </row>
    <row r="25" spans="2:129" ht="18" customHeight="1">
      <c r="B25" s="18" t="s">
        <v>91</v>
      </c>
      <c r="C25" s="19"/>
      <c r="D25" s="24"/>
      <c r="E25" s="25"/>
      <c r="F25" s="25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21"/>
      <c r="V25" s="21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21"/>
    </row>
    <row r="26" spans="2:129" ht="50.1" customHeight="1">
      <c r="B26" s="35">
        <v>41115</v>
      </c>
      <c r="C26" s="19" t="s">
        <v>92</v>
      </c>
      <c r="D26" s="19" t="s">
        <v>93</v>
      </c>
      <c r="E26" s="20" t="s">
        <v>94</v>
      </c>
      <c r="F26" s="20" t="s">
        <v>95</v>
      </c>
      <c r="G26" s="21">
        <v>30503.3</v>
      </c>
      <c r="H26" s="21">
        <f>(G26*0.1)</f>
        <v>3050.33</v>
      </c>
      <c r="I26" s="21">
        <f>(G26*0.9)</f>
        <v>27452.97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>
        <f>O26+P26+Q26+R26+S26+T26+U26+V26</f>
        <v>0</v>
      </c>
      <c r="X26" s="21"/>
      <c r="Y26" s="21"/>
      <c r="Z26" s="21"/>
      <c r="AA26" s="21"/>
      <c r="AB26" s="21"/>
      <c r="AC26" s="21"/>
      <c r="AD26" s="21">
        <f>ROUND((I26/10/365*6),2)</f>
        <v>45.13</v>
      </c>
      <c r="AE26" s="21">
        <f>ROUND((I26/10/365*31),2)</f>
        <v>233.16</v>
      </c>
      <c r="AF26" s="21">
        <f>ROUND((I26/10/365*30),2)</f>
        <v>225.64</v>
      </c>
      <c r="AG26" s="21">
        <f>ROUND((I26/10/365*31),2)</f>
        <v>233.16</v>
      </c>
      <c r="AH26" s="21">
        <f>ROUND((I26/10/365*30),2)</f>
        <v>225.64</v>
      </c>
      <c r="AI26" s="21">
        <f>ROUND((I26/10/365*31),2)</f>
        <v>233.16</v>
      </c>
      <c r="AJ26" s="21">
        <f>SUM(X26:AI26)</f>
        <v>1195.8900000000001</v>
      </c>
      <c r="AK26" s="21">
        <f>ROUND((W26+X26+Y26+Z26+AA26+AB26+AC26+AD26+AE26+AF26+AG26+AH26+AI26),2)</f>
        <v>1195.8900000000001</v>
      </c>
      <c r="AL26" s="21">
        <f>ROUND((I26/10/365*31),2)</f>
        <v>233.16</v>
      </c>
      <c r="AM26" s="21">
        <f>ROUND((I26/10/365*28),2)</f>
        <v>210.6</v>
      </c>
      <c r="AN26" s="21">
        <f>ROUND((I26/10/365*31),2)</f>
        <v>233.16</v>
      </c>
      <c r="AO26" s="21">
        <f>ROUND((I26/10/365*30),2)</f>
        <v>225.64</v>
      </c>
      <c r="AP26" s="21">
        <f>ROUND((I26/10/365*31),2)</f>
        <v>233.16</v>
      </c>
      <c r="AQ26" s="21">
        <f>ROUND((I26/10/365*30),2)</f>
        <v>225.64</v>
      </c>
      <c r="AR26" s="21">
        <f>ROUND((I26/10/365*31),2)</f>
        <v>233.16</v>
      </c>
      <c r="AS26" s="21">
        <f>ROUND((I26/10/365*31),2)</f>
        <v>233.16</v>
      </c>
      <c r="AT26" s="21">
        <f>ROUND((I26/10/365*30),2)</f>
        <v>225.64</v>
      </c>
      <c r="AU26" s="21">
        <f>ROUND((I26/10/365*31),2)</f>
        <v>233.16</v>
      </c>
      <c r="AV26" s="21">
        <f>ROUND((I26/10/365*30),2)</f>
        <v>225.64</v>
      </c>
      <c r="AW26" s="21">
        <f>ROUND((I26/10/365*31),2)</f>
        <v>233.16</v>
      </c>
      <c r="AX26" s="21">
        <f>SUM(AL26:AW26)</f>
        <v>2745.2799999999997</v>
      </c>
      <c r="AY26" s="21">
        <f>ROUND((AK26+AL26+AM26+AN26+AO26+AP26+AQ26+AR26+AS26+AT26+AU26+AV26+AW26),2)</f>
        <v>3941.17</v>
      </c>
      <c r="AZ26" s="21">
        <f>ROUND((I26/10/365*31),2)</f>
        <v>233.16</v>
      </c>
      <c r="BA26" s="21">
        <f>ROUND((I26/10/365*28),2)</f>
        <v>210.6</v>
      </c>
      <c r="BB26" s="21">
        <f>ROUND((I26/10/365*31),2)</f>
        <v>233.16</v>
      </c>
      <c r="BC26" s="21">
        <f>ROUND((I26/10/365*30),2)</f>
        <v>225.64</v>
      </c>
      <c r="BD26" s="21">
        <f>ROUND((I26/10/365*31),2)</f>
        <v>233.16</v>
      </c>
      <c r="BE26" s="21">
        <f>ROUND((I26/10/365*30),2)</f>
        <v>225.64</v>
      </c>
      <c r="BF26" s="21">
        <f>ROUND((I26/10/365*31),2)</f>
        <v>233.16</v>
      </c>
      <c r="BG26" s="21">
        <f>ROUND((I26/10/365*31),2)</f>
        <v>233.16</v>
      </c>
      <c r="BH26" s="21">
        <f>ROUND((I26/10/365*30),2)</f>
        <v>225.64</v>
      </c>
      <c r="BI26" s="21">
        <f>ROUND((I26/10/365*31),2)</f>
        <v>233.16</v>
      </c>
      <c r="BJ26" s="21">
        <f>ROUND((I26/10/365*30),2)</f>
        <v>225.64</v>
      </c>
      <c r="BK26" s="21">
        <f>ROUND((I26/10/365*31),2)</f>
        <v>233.16</v>
      </c>
      <c r="BL26" s="21">
        <f>SUM(AZ26:BK26)</f>
        <v>2745.2799999999997</v>
      </c>
      <c r="BM26" s="21">
        <f>ROUND((AY26+BL26),2)</f>
        <v>6686.45</v>
      </c>
      <c r="BN26" s="21">
        <f>ROUND((I26/10/365*31),2)</f>
        <v>233.16</v>
      </c>
      <c r="BO26" s="21">
        <f>ROUND((I26/10/365*28),2)</f>
        <v>210.6</v>
      </c>
      <c r="BP26" s="21">
        <f>ROUND((I26/10/365*31),2)</f>
        <v>233.16</v>
      </c>
      <c r="BQ26" s="21">
        <f>ROUND((I26/10/365*30),2)</f>
        <v>225.64</v>
      </c>
      <c r="BR26" s="21">
        <f>ROUND((I26/10/365*31),2)</f>
        <v>233.16</v>
      </c>
      <c r="BS26" s="21">
        <f>ROUND((I26/10/365*30),2)</f>
        <v>225.64</v>
      </c>
      <c r="BT26" s="21">
        <f>ROUND((I26/10/365*31),2)</f>
        <v>233.16</v>
      </c>
      <c r="BU26" s="21">
        <f>ROUND((I26/10/365*31),2)</f>
        <v>233.16</v>
      </c>
      <c r="BV26" s="21">
        <f>ROUND((I26/10/365*30),2)</f>
        <v>225.64</v>
      </c>
      <c r="BW26" s="21">
        <f>ROUND((I26/10/365*31),2)</f>
        <v>233.16</v>
      </c>
      <c r="BX26" s="21">
        <f>ROUND((I26/10/365*30),2)</f>
        <v>225.64</v>
      </c>
      <c r="BY26" s="21">
        <f>ROUND((I26/10/365*31),2)</f>
        <v>233.16</v>
      </c>
      <c r="BZ26" s="21">
        <f>SUM(BN26:BY26)</f>
        <v>2745.2799999999997</v>
      </c>
      <c r="CA26" s="21">
        <f>ROUND((BM26+BZ26),2)</f>
        <v>9431.73</v>
      </c>
      <c r="CB26" s="21">
        <f>ROUND((I26/10/365*31),2)</f>
        <v>233.16</v>
      </c>
      <c r="CC26" s="21">
        <f>ROUND((I26/10/365*29),2)</f>
        <v>218.12</v>
      </c>
      <c r="CD26" s="21">
        <f>ROUND((I26/10/365*31),2)</f>
        <v>233.16</v>
      </c>
      <c r="CE26" s="21">
        <f>ROUND((I26/10/365*30),2)</f>
        <v>225.64</v>
      </c>
      <c r="CF26" s="21">
        <f>ROUND((I26/10/365*31),2)</f>
        <v>233.16</v>
      </c>
      <c r="CG26" s="21">
        <f>ROUND((I26/10/365*30),2)</f>
        <v>225.64</v>
      </c>
      <c r="CH26" s="21">
        <f>ROUND((I26/10/365*31),2)</f>
        <v>233.16</v>
      </c>
      <c r="CI26" s="21">
        <f>ROUND((I26/10/365*31),2)</f>
        <v>233.16</v>
      </c>
      <c r="CJ26" s="21">
        <f>ROUND((I26/10/365*30),2)</f>
        <v>225.64</v>
      </c>
      <c r="CK26" s="21">
        <f>ROUND((I26/10/365*31),2)</f>
        <v>233.16</v>
      </c>
      <c r="CL26" s="21">
        <f>ROUND((I26/10/365*30),2)</f>
        <v>225.64</v>
      </c>
      <c r="CM26" s="21">
        <f>ROUND((I26/10/365*31),2)</f>
        <v>233.16</v>
      </c>
      <c r="CN26" s="21">
        <f>SUM(CB26:CM26)</f>
        <v>2752.7999999999997</v>
      </c>
      <c r="CO26" s="26">
        <f>ROUND((CA26+CN26),2)</f>
        <v>12184.53</v>
      </c>
      <c r="CP26" s="21">
        <f>ROUND((I26/10/365*31),2)</f>
        <v>233.16</v>
      </c>
      <c r="CQ26" s="21">
        <f>ROUND((I26/10/365*28),2)</f>
        <v>210.6</v>
      </c>
      <c r="CR26" s="21">
        <f>ROUND((I26/10/365*31),2)</f>
        <v>233.16</v>
      </c>
      <c r="CS26" s="21">
        <f>ROUND((I26/10/365*30),2)</f>
        <v>225.64</v>
      </c>
      <c r="CT26" s="27">
        <f>ROUND((I26/10/365*31),2)</f>
        <v>233.16</v>
      </c>
      <c r="CU26" s="21">
        <f>ROUND((I26/10/365*30),2)</f>
        <v>225.64</v>
      </c>
      <c r="CV26" s="21">
        <f>ROUND((I26/10/365*31),2)</f>
        <v>233.16</v>
      </c>
      <c r="CW26" s="21">
        <f>ROUND((I26/10/365*31),2)</f>
        <v>233.16</v>
      </c>
      <c r="CX26" s="21">
        <f>ROUND((I26/10/365*30),2)</f>
        <v>225.64</v>
      </c>
      <c r="CY26" s="21">
        <f>ROUND((I26/10/365*31),2)</f>
        <v>233.16</v>
      </c>
      <c r="CZ26" s="21">
        <f>ROUND((I26/10/365*30),2)</f>
        <v>225.64</v>
      </c>
      <c r="DA26" s="21">
        <f>ROUND((I26/10/365*31),2)</f>
        <v>233.16</v>
      </c>
      <c r="DB26" s="26">
        <f>SUM(CP26:DA26)</f>
        <v>2745.2799999999997</v>
      </c>
      <c r="DC26" s="26">
        <f>ROUND((CO26+DB26),2)</f>
        <v>14929.81</v>
      </c>
      <c r="DD26" s="21">
        <f>ROUND((I26/10/365*31),2)</f>
        <v>233.16</v>
      </c>
      <c r="DE26" s="21">
        <f>ROUND((I26/10/365*28),2)</f>
        <v>210.6</v>
      </c>
      <c r="DF26" s="21">
        <f>ROUND((I26/10/365*31),2)</f>
        <v>233.16</v>
      </c>
      <c r="DG26" s="21">
        <f>ROUND((I26/10/365*30),2)</f>
        <v>225.64</v>
      </c>
      <c r="DH26" s="21">
        <f>ROUND((I26/10/365*31),2)</f>
        <v>233.16</v>
      </c>
      <c r="DI26" s="21">
        <f>ROUND((I26/10/365*30),2)</f>
        <v>225.64</v>
      </c>
      <c r="DJ26" s="26"/>
      <c r="DK26" s="26"/>
      <c r="DL26" s="26"/>
      <c r="DM26" s="26"/>
      <c r="DN26" s="26"/>
      <c r="DO26" s="26"/>
      <c r="DP26" s="26">
        <f>SUM(DD26:DO26)</f>
        <v>1361.3600000000001</v>
      </c>
      <c r="DQ26" s="21">
        <f t="shared" ref="DQ26:DQ30" si="101">ROUND((DC26+DD26+DE26+DF26+DG26+DH26+DI26+DJ26+DK26+DL26+DM26+DN26+DO26),2)</f>
        <v>16291.17</v>
      </c>
      <c r="DR26" s="21">
        <f t="shared" ref="DR26:DR30" si="102">SUM(G26-DQ26)</f>
        <v>14212.13</v>
      </c>
    </row>
    <row r="27" spans="2:129" ht="54.75" customHeight="1">
      <c r="B27" s="35">
        <v>41264</v>
      </c>
      <c r="C27" s="36" t="s">
        <v>96</v>
      </c>
      <c r="D27" s="36" t="s">
        <v>97</v>
      </c>
      <c r="E27" s="20" t="s">
        <v>98</v>
      </c>
      <c r="F27" s="20" t="s">
        <v>99</v>
      </c>
      <c r="G27" s="21">
        <v>25786.68</v>
      </c>
      <c r="H27" s="21">
        <f>(G27*0.1)</f>
        <v>2578.6680000000001</v>
      </c>
      <c r="I27" s="21">
        <f>(G27*0.9)</f>
        <v>23208.012000000002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>
        <f>O27+P27+Q27+R27+S27+T27+U27+V27</f>
        <v>0</v>
      </c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>
        <f>ROUND((I27/10/365*10),2)</f>
        <v>63.58</v>
      </c>
      <c r="AJ27" s="21">
        <f>SUM(X27:AI27)</f>
        <v>63.58</v>
      </c>
      <c r="AK27" s="21">
        <f>ROUND((W27+X27+Y27+Z27+AA27+AB27+AC27+AD27+AE27+AF27+AG27+AH27+AI27),2)</f>
        <v>63.58</v>
      </c>
      <c r="AL27" s="21">
        <f>ROUND((I27/10/365*31),2)</f>
        <v>197.11</v>
      </c>
      <c r="AM27" s="21">
        <f>ROUND((I27/10/365*28),2)</f>
        <v>178.03</v>
      </c>
      <c r="AN27" s="21">
        <f>ROUND((I27/10/365*31),2)</f>
        <v>197.11</v>
      </c>
      <c r="AO27" s="21">
        <f>ROUND((I27/10/365*30),2)</f>
        <v>190.75</v>
      </c>
      <c r="AP27" s="21">
        <f>ROUND((I27/10/365*31),2)</f>
        <v>197.11</v>
      </c>
      <c r="AQ27" s="21">
        <f>ROUND((I27/10/365*30),2)</f>
        <v>190.75</v>
      </c>
      <c r="AR27" s="21">
        <f>ROUND((I27/10/365*31),2)</f>
        <v>197.11</v>
      </c>
      <c r="AS27" s="21">
        <f>ROUND((I27/10/365*31),2)</f>
        <v>197.11</v>
      </c>
      <c r="AT27" s="21">
        <f>ROUND((I27/10/365*30),2)</f>
        <v>190.75</v>
      </c>
      <c r="AU27" s="21">
        <f>ROUND((I27/10/365*31),2)</f>
        <v>197.11</v>
      </c>
      <c r="AV27" s="21">
        <f>ROUND((I27/10/365*30),2)</f>
        <v>190.75</v>
      </c>
      <c r="AW27" s="21">
        <f>ROUND((I27/10/365*31),2)</f>
        <v>197.11</v>
      </c>
      <c r="AX27" s="21">
        <f>SUM(AL27:AW27)</f>
        <v>2320.8000000000006</v>
      </c>
      <c r="AY27" s="21">
        <f>ROUND((AK27+AL27+AM27+AN27+AO27+AP27+AQ27+AR27+AS27+AT27+AU27+AV27+AW27),2)</f>
        <v>2384.38</v>
      </c>
      <c r="AZ27" s="21">
        <f>ROUND((I27/10/365*31),2)</f>
        <v>197.11</v>
      </c>
      <c r="BA27" s="21">
        <f>ROUND((I27/10/365*28),2)</f>
        <v>178.03</v>
      </c>
      <c r="BB27" s="21">
        <f>ROUND((I27/10/365*31),2)</f>
        <v>197.11</v>
      </c>
      <c r="BC27" s="21">
        <f>ROUND((I27/10/365*30),2)</f>
        <v>190.75</v>
      </c>
      <c r="BD27" s="21">
        <f>ROUND((I27/10/365*31),2)</f>
        <v>197.11</v>
      </c>
      <c r="BE27" s="21">
        <f>ROUND((I27/10/365*30),2)</f>
        <v>190.75</v>
      </c>
      <c r="BF27" s="21">
        <f>ROUND((I27/10/365*31),2)</f>
        <v>197.11</v>
      </c>
      <c r="BG27" s="21">
        <f>ROUND((I27/10/365*31),2)</f>
        <v>197.11</v>
      </c>
      <c r="BH27" s="21">
        <f>ROUND((I27/10/365*30),2)</f>
        <v>190.75</v>
      </c>
      <c r="BI27" s="21">
        <f>ROUND((I27/10/365*31),2)</f>
        <v>197.11</v>
      </c>
      <c r="BJ27" s="21">
        <f>ROUND((I27/10/365*30),2)</f>
        <v>190.75</v>
      </c>
      <c r="BK27" s="21">
        <f>ROUND((I27/10/365*31),2)</f>
        <v>197.11</v>
      </c>
      <c r="BL27" s="21">
        <f>SUM(AZ27:BK27)</f>
        <v>2320.8000000000006</v>
      </c>
      <c r="BM27" s="21">
        <f>ROUND((AY27+BL27),2)</f>
        <v>4705.18</v>
      </c>
      <c r="BN27" s="21">
        <f>ROUND((I27/10/365*31),2)</f>
        <v>197.11</v>
      </c>
      <c r="BO27" s="21">
        <f>ROUND((I27/10/365*28),2)</f>
        <v>178.03</v>
      </c>
      <c r="BP27" s="21">
        <f>ROUND((I27/10/365*31),2)</f>
        <v>197.11</v>
      </c>
      <c r="BQ27" s="21">
        <f>ROUND((I27/10/365*30),2)</f>
        <v>190.75</v>
      </c>
      <c r="BR27" s="21">
        <f>ROUND((I27/10/365*31),2)</f>
        <v>197.11</v>
      </c>
      <c r="BS27" s="21">
        <f>ROUND((I27/10/365*30),2)</f>
        <v>190.75</v>
      </c>
      <c r="BT27" s="21">
        <f>ROUND((I27/10/365*31),2)</f>
        <v>197.11</v>
      </c>
      <c r="BU27" s="21">
        <f>ROUND((I27/10/365*31),2)</f>
        <v>197.11</v>
      </c>
      <c r="BV27" s="21">
        <f>ROUND((I27/10/365*30),2)</f>
        <v>190.75</v>
      </c>
      <c r="BW27" s="21">
        <f>ROUND((I27/10/365*31),2)</f>
        <v>197.11</v>
      </c>
      <c r="BX27" s="21">
        <f>ROUND((I27/10/365*30),2)</f>
        <v>190.75</v>
      </c>
      <c r="BY27" s="21">
        <f>ROUND((I27/10/365*31),2)</f>
        <v>197.11</v>
      </c>
      <c r="BZ27" s="21">
        <f>SUM(BN27:BY27)</f>
        <v>2320.8000000000006</v>
      </c>
      <c r="CA27" s="21">
        <f>ROUND((BM27+BZ27),2)</f>
        <v>7025.98</v>
      </c>
      <c r="CB27" s="21">
        <f>ROUND((I27/10/365*31),2)</f>
        <v>197.11</v>
      </c>
      <c r="CC27" s="21">
        <f>ROUND((I27/10/365*29),2)</f>
        <v>184.39</v>
      </c>
      <c r="CD27" s="21">
        <f>ROUND((I27/10/365*31),2)</f>
        <v>197.11</v>
      </c>
      <c r="CE27" s="21">
        <f>ROUND((I27/10/365*30),2)</f>
        <v>190.75</v>
      </c>
      <c r="CF27" s="21">
        <f>ROUND((I27/10/365*31),2)</f>
        <v>197.11</v>
      </c>
      <c r="CG27" s="21">
        <f>ROUND((I27/10/365*30),2)</f>
        <v>190.75</v>
      </c>
      <c r="CH27" s="21">
        <f>ROUND((I27/10/365*31),2)</f>
        <v>197.11</v>
      </c>
      <c r="CI27" s="21">
        <f>ROUND((I27/10/365*31),2)</f>
        <v>197.11</v>
      </c>
      <c r="CJ27" s="21">
        <f>ROUND((I27/10/365*30),2)</f>
        <v>190.75</v>
      </c>
      <c r="CK27" s="21">
        <f>ROUND((I27/10/365*31),2)</f>
        <v>197.11</v>
      </c>
      <c r="CL27" s="21">
        <f>ROUND((I27/10/365*30),2)</f>
        <v>190.75</v>
      </c>
      <c r="CM27" s="21">
        <f>ROUND((I27/10/365*31),2)</f>
        <v>197.11</v>
      </c>
      <c r="CN27" s="21">
        <f>SUM(CB27:CM27)</f>
        <v>2327.1600000000003</v>
      </c>
      <c r="CO27" s="26">
        <f>ROUND((CA27+CN27),2)</f>
        <v>9353.14</v>
      </c>
      <c r="CP27" s="21">
        <f>ROUND((I27/10/365*31),2)</f>
        <v>197.11</v>
      </c>
      <c r="CQ27" s="21">
        <f>ROUND((I27/10/365*28),2)</f>
        <v>178.03</v>
      </c>
      <c r="CR27" s="21">
        <f>ROUND((I27/10/365*31),2)</f>
        <v>197.11</v>
      </c>
      <c r="CS27" s="21">
        <f>ROUND((I27/10/365*30),2)</f>
        <v>190.75</v>
      </c>
      <c r="CT27" s="27">
        <f>ROUND((I27/10/365*31),2)</f>
        <v>197.11</v>
      </c>
      <c r="CU27" s="21">
        <f>ROUND((I27/10/365*30),2)</f>
        <v>190.75</v>
      </c>
      <c r="CV27" s="21">
        <f>ROUND((I27/10/365*31),2)</f>
        <v>197.11</v>
      </c>
      <c r="CW27" s="21">
        <f>ROUND((I27/10/365*31),2)</f>
        <v>197.11</v>
      </c>
      <c r="CX27" s="21">
        <f>ROUND((I27/10/365*30),2)</f>
        <v>190.75</v>
      </c>
      <c r="CY27" s="21">
        <f>ROUND((I27/10/365*31),2)</f>
        <v>197.11</v>
      </c>
      <c r="CZ27" s="21">
        <f>ROUND((I27/10/365*30),2)</f>
        <v>190.75</v>
      </c>
      <c r="DA27" s="21">
        <f>ROUND((I27/10/365*31),2)</f>
        <v>197.11</v>
      </c>
      <c r="DB27" s="26">
        <f>SUM(CP27:DA27)</f>
        <v>2320.8000000000006</v>
      </c>
      <c r="DC27" s="26">
        <f>ROUND((CO27+DB27),2)</f>
        <v>11673.94</v>
      </c>
      <c r="DD27" s="21">
        <f>ROUND((I27/10/365*31),2)</f>
        <v>197.11</v>
      </c>
      <c r="DE27" s="21">
        <f t="shared" ref="DE27:DE28" si="103">ROUND((I27/10/365*28),2)</f>
        <v>178.03</v>
      </c>
      <c r="DF27" s="21">
        <f>ROUND((I27/10/365*31),2)</f>
        <v>197.11</v>
      </c>
      <c r="DG27" s="21">
        <f t="shared" ref="DG27:DG30" si="104">ROUND((I27/10/365*30),2)</f>
        <v>190.75</v>
      </c>
      <c r="DH27" s="21">
        <f t="shared" ref="DH27:DH30" si="105">ROUND((I27/10/365*31),2)</f>
        <v>197.11</v>
      </c>
      <c r="DI27" s="21">
        <f t="shared" ref="DI27:DI30" si="106">ROUND((I27/10/365*30),2)</f>
        <v>190.75</v>
      </c>
      <c r="DJ27" s="26"/>
      <c r="DK27" s="26"/>
      <c r="DL27" s="26"/>
      <c r="DM27" s="26"/>
      <c r="DN27" s="26"/>
      <c r="DO27" s="26"/>
      <c r="DP27" s="26">
        <f>SUM(DD27:DO27)</f>
        <v>1150.8600000000001</v>
      </c>
      <c r="DQ27" s="21">
        <f t="shared" si="101"/>
        <v>12824.8</v>
      </c>
      <c r="DR27" s="21">
        <f t="shared" si="102"/>
        <v>12961.880000000001</v>
      </c>
    </row>
    <row r="28" spans="2:129" ht="36.75" customHeight="1">
      <c r="B28" s="35">
        <v>42185</v>
      </c>
      <c r="C28" s="36" t="s">
        <v>100</v>
      </c>
      <c r="D28" s="36" t="s">
        <v>101</v>
      </c>
      <c r="E28" s="20" t="s">
        <v>94</v>
      </c>
      <c r="F28" s="20" t="s">
        <v>102</v>
      </c>
      <c r="G28" s="21">
        <v>19990</v>
      </c>
      <c r="H28" s="21">
        <f>(G28*0.1)</f>
        <v>1999</v>
      </c>
      <c r="I28" s="21">
        <f>(G28*0.9)</f>
        <v>17991</v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>
        <v>0</v>
      </c>
      <c r="BT28" s="21">
        <f>ROUND((I28/10/365*23),2)</f>
        <v>113.37</v>
      </c>
      <c r="BU28" s="21">
        <f>ROUND((I28/10/365*31),2)</f>
        <v>152.80000000000001</v>
      </c>
      <c r="BV28" s="21">
        <f>ROUND((I28/10/365*30),2)</f>
        <v>147.87</v>
      </c>
      <c r="BW28" s="21">
        <f>ROUND((I28/10/365*31),2)</f>
        <v>152.80000000000001</v>
      </c>
      <c r="BX28" s="21">
        <f>ROUND((I28/10/365*30),2)</f>
        <v>147.87</v>
      </c>
      <c r="BY28" s="21">
        <f>ROUND((I28/10/365*31),2)</f>
        <v>152.80000000000001</v>
      </c>
      <c r="BZ28" s="21">
        <f>SUM(BN28:BY28)</f>
        <v>867.51</v>
      </c>
      <c r="CA28" s="21">
        <f>ROUND((BM28+BZ28),2)</f>
        <v>867.51</v>
      </c>
      <c r="CB28" s="21">
        <f>ROUND((I28/10/365*31),2)</f>
        <v>152.80000000000001</v>
      </c>
      <c r="CC28" s="21">
        <f>ROUND((I28/10/365*29),2)</f>
        <v>142.94</v>
      </c>
      <c r="CD28" s="21">
        <f>ROUND((I28/10/365*31),2)</f>
        <v>152.80000000000001</v>
      </c>
      <c r="CE28" s="21">
        <f>ROUND((I28/10/365*30),2)</f>
        <v>147.87</v>
      </c>
      <c r="CF28" s="21">
        <f>ROUND((I28/10/365*31),2)</f>
        <v>152.80000000000001</v>
      </c>
      <c r="CG28" s="21">
        <f>ROUND((I28/10/365*30),2)</f>
        <v>147.87</v>
      </c>
      <c r="CH28" s="21">
        <f>ROUND((I28/10/365*31),2)</f>
        <v>152.80000000000001</v>
      </c>
      <c r="CI28" s="21">
        <f>ROUND((I28/10/365*31),2)</f>
        <v>152.80000000000001</v>
      </c>
      <c r="CJ28" s="21">
        <f>ROUND((I28/10/365*30),2)</f>
        <v>147.87</v>
      </c>
      <c r="CK28" s="21">
        <f>ROUND((I28/10/365*31),2)</f>
        <v>152.80000000000001</v>
      </c>
      <c r="CL28" s="21">
        <f>ROUND((I28/10/365*30),2)</f>
        <v>147.87</v>
      </c>
      <c r="CM28" s="21">
        <f>ROUND((I28/10/365*31),2)</f>
        <v>152.80000000000001</v>
      </c>
      <c r="CN28" s="21">
        <f>SUM(CB28:CM28)</f>
        <v>1804.0200000000002</v>
      </c>
      <c r="CO28" s="26">
        <f>ROUND((CA28+CN28),2)</f>
        <v>2671.53</v>
      </c>
      <c r="CP28" s="21">
        <f>ROUND((I28/10/365*31),2)</f>
        <v>152.80000000000001</v>
      </c>
      <c r="CQ28" s="21">
        <f>ROUND((I28/10/365*28),2)</f>
        <v>138.01</v>
      </c>
      <c r="CR28" s="21">
        <f>ROUND((I28/10/365*31),2)</f>
        <v>152.80000000000001</v>
      </c>
      <c r="CS28" s="21">
        <f>ROUND((I28/10/365*30),2)</f>
        <v>147.87</v>
      </c>
      <c r="CT28" s="27">
        <f>ROUND((I28/10/365*31),2)</f>
        <v>152.80000000000001</v>
      </c>
      <c r="CU28" s="21">
        <f>ROUND((I28/10/365*30),2)</f>
        <v>147.87</v>
      </c>
      <c r="CV28" s="21">
        <f>ROUND((I28/10/365*31),2)</f>
        <v>152.80000000000001</v>
      </c>
      <c r="CW28" s="21">
        <f>ROUND((I28/10/365*31),2)</f>
        <v>152.80000000000001</v>
      </c>
      <c r="CX28" s="21">
        <f>ROUND((I28/10/365*30),2)</f>
        <v>147.87</v>
      </c>
      <c r="CY28" s="21">
        <f>ROUND((I28/10/365*31),2)</f>
        <v>152.80000000000001</v>
      </c>
      <c r="CZ28" s="21">
        <f>ROUND((I28/10/365*30),2)</f>
        <v>147.87</v>
      </c>
      <c r="DA28" s="21">
        <f>ROUND((I28/10/365*31),2)</f>
        <v>152.80000000000001</v>
      </c>
      <c r="DB28" s="26">
        <f>SUM(CP28:DA28)</f>
        <v>1799.09</v>
      </c>
      <c r="DC28" s="26">
        <f>ROUND((CO28+DB28),2)</f>
        <v>4470.62</v>
      </c>
      <c r="DD28" s="21">
        <f>ROUND((I28/10/365*31),2)</f>
        <v>152.80000000000001</v>
      </c>
      <c r="DE28" s="21">
        <f t="shared" si="103"/>
        <v>138.01</v>
      </c>
      <c r="DF28" s="21">
        <f>ROUND((I28/10/365*31),2)</f>
        <v>152.80000000000001</v>
      </c>
      <c r="DG28" s="21">
        <f t="shared" si="104"/>
        <v>147.87</v>
      </c>
      <c r="DH28" s="21">
        <f t="shared" si="105"/>
        <v>152.80000000000001</v>
      </c>
      <c r="DI28" s="21">
        <f t="shared" si="106"/>
        <v>147.87</v>
      </c>
      <c r="DJ28" s="26"/>
      <c r="DK28" s="26"/>
      <c r="DL28" s="26"/>
      <c r="DM28" s="26"/>
      <c r="DN28" s="26"/>
      <c r="DO28" s="26"/>
      <c r="DP28" s="26">
        <f t="shared" ref="DP28:DP29" si="107">SUM(DD28:DO28)</f>
        <v>892.15</v>
      </c>
      <c r="DQ28" s="21">
        <f t="shared" si="101"/>
        <v>5362.77</v>
      </c>
      <c r="DR28" s="21">
        <f t="shared" si="102"/>
        <v>14627.23</v>
      </c>
    </row>
    <row r="29" spans="2:129" ht="52.5" customHeight="1">
      <c r="B29" s="37">
        <v>42620</v>
      </c>
      <c r="C29" s="38" t="s">
        <v>103</v>
      </c>
      <c r="D29" s="38" t="s">
        <v>104</v>
      </c>
      <c r="E29" s="39" t="s">
        <v>105</v>
      </c>
      <c r="F29" s="39" t="s">
        <v>106</v>
      </c>
      <c r="G29" s="40">
        <v>15977.38</v>
      </c>
      <c r="H29" s="21">
        <f>(G29*0.1)</f>
        <v>1597.7380000000001</v>
      </c>
      <c r="I29" s="21">
        <f>(G29*0.9)</f>
        <v>14379.642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>
        <f>ROUND((I29/10/365*23),2)</f>
        <v>90.61</v>
      </c>
      <c r="CK29" s="21">
        <f>ROUND((I29/10/365*31),2)</f>
        <v>122.13</v>
      </c>
      <c r="CL29" s="21">
        <f>ROUND((I29/10/365*30),2)</f>
        <v>118.19</v>
      </c>
      <c r="CM29" s="21">
        <f>ROUND((I29/10/365*31),2)</f>
        <v>122.13</v>
      </c>
      <c r="CN29" s="21">
        <f>SUM(CB29:CM29)</f>
        <v>453.06</v>
      </c>
      <c r="CO29" s="26">
        <f>ROUND((CA29+CN29),2)</f>
        <v>453.06</v>
      </c>
      <c r="CP29" s="21">
        <f>ROUND((I29/10/365*31),2)</f>
        <v>122.13</v>
      </c>
      <c r="CQ29" s="21">
        <f>ROUND((I29/10/365*28),2)</f>
        <v>110.31</v>
      </c>
      <c r="CR29" s="21">
        <f>ROUND((I29/10/365*31),2)</f>
        <v>122.13</v>
      </c>
      <c r="CS29" s="21">
        <f>ROUND((I29/10/365*30),2)</f>
        <v>118.19</v>
      </c>
      <c r="CT29" s="27">
        <f>ROUND((I29/10/365*31),2)</f>
        <v>122.13</v>
      </c>
      <c r="CU29" s="21">
        <f>ROUND((I29/10/365*30),2)</f>
        <v>118.19</v>
      </c>
      <c r="CV29" s="21">
        <f>ROUND((I29/10/365*31),2)</f>
        <v>122.13</v>
      </c>
      <c r="CW29" s="21">
        <f>ROUND((I29/10/365*31),2)</f>
        <v>122.13</v>
      </c>
      <c r="CX29" s="21">
        <f>ROUND((I29/10/365*30),2)</f>
        <v>118.19</v>
      </c>
      <c r="CY29" s="21">
        <f>ROUND((I29/10/365*31),2)</f>
        <v>122.13</v>
      </c>
      <c r="CZ29" s="21">
        <f>ROUND((I29/10/365*30),2)</f>
        <v>118.19</v>
      </c>
      <c r="DA29" s="21">
        <f>ROUND((I29/10/365*31),2)</f>
        <v>122.13</v>
      </c>
      <c r="DB29" s="26">
        <f>SUM(CP29:DA29)</f>
        <v>1437.98</v>
      </c>
      <c r="DC29" s="26">
        <f>ROUND((CO29+DB29),2)</f>
        <v>1891.04</v>
      </c>
      <c r="DD29" s="21">
        <f>ROUND((I29/10/365*31),2)</f>
        <v>122.13</v>
      </c>
      <c r="DE29" s="21">
        <f>ROUND((I29/10/365*28),2)</f>
        <v>110.31</v>
      </c>
      <c r="DF29" s="21">
        <f t="shared" ref="DF29" si="108">ROUND((I29/10/365*31),2)</f>
        <v>122.13</v>
      </c>
      <c r="DG29" s="21">
        <f t="shared" si="104"/>
        <v>118.19</v>
      </c>
      <c r="DH29" s="21">
        <f t="shared" si="105"/>
        <v>122.13</v>
      </c>
      <c r="DI29" s="21">
        <f t="shared" si="106"/>
        <v>118.19</v>
      </c>
      <c r="DJ29" s="26"/>
      <c r="DK29" s="26"/>
      <c r="DL29" s="26"/>
      <c r="DM29" s="26"/>
      <c r="DN29" s="26"/>
      <c r="DO29" s="26"/>
      <c r="DP29" s="26">
        <f t="shared" si="107"/>
        <v>713.07999999999993</v>
      </c>
      <c r="DQ29" s="21">
        <f t="shared" si="101"/>
        <v>2604.12</v>
      </c>
      <c r="DR29" s="21">
        <f t="shared" si="102"/>
        <v>13373.259999999998</v>
      </c>
      <c r="DY29" s="39"/>
    </row>
    <row r="30" spans="2:129" ht="24.75" customHeight="1">
      <c r="B30" s="37">
        <v>43168</v>
      </c>
      <c r="C30" s="38" t="s">
        <v>107</v>
      </c>
      <c r="D30" s="38" t="s">
        <v>108</v>
      </c>
      <c r="E30" s="39"/>
      <c r="F30" s="39"/>
      <c r="G30" s="40">
        <v>38194</v>
      </c>
      <c r="H30" s="21">
        <f>(G30*0.1)</f>
        <v>3819.4</v>
      </c>
      <c r="I30" s="21">
        <f>(G30*0.9)</f>
        <v>34374.6</v>
      </c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6"/>
      <c r="CP30" s="21"/>
      <c r="CQ30" s="21"/>
      <c r="CR30" s="21"/>
      <c r="CS30" s="21"/>
      <c r="CT30" s="27"/>
      <c r="CU30" s="21"/>
      <c r="CV30" s="21"/>
      <c r="CW30" s="21"/>
      <c r="CX30" s="21"/>
      <c r="CY30" s="21"/>
      <c r="CZ30" s="21"/>
      <c r="DA30" s="21"/>
      <c r="DB30" s="26"/>
      <c r="DC30" s="26"/>
      <c r="DD30" s="21"/>
      <c r="DE30" s="21"/>
      <c r="DF30" s="21">
        <f>ROUND((I30/10/365*22),2)</f>
        <v>207.19</v>
      </c>
      <c r="DG30" s="21">
        <f t="shared" si="104"/>
        <v>282.52999999999997</v>
      </c>
      <c r="DH30" s="21">
        <f t="shared" si="105"/>
        <v>291.95</v>
      </c>
      <c r="DI30" s="21">
        <f t="shared" si="106"/>
        <v>282.52999999999997</v>
      </c>
      <c r="DJ30" s="26"/>
      <c r="DK30" s="26"/>
      <c r="DL30" s="26"/>
      <c r="DM30" s="26"/>
      <c r="DN30" s="26"/>
      <c r="DO30" s="26"/>
      <c r="DP30" s="26">
        <f>SUM(DD30:DO30)</f>
        <v>1064.1999999999998</v>
      </c>
      <c r="DQ30" s="21">
        <f t="shared" si="101"/>
        <v>1064.2</v>
      </c>
      <c r="DR30" s="21">
        <f t="shared" si="102"/>
        <v>37129.800000000003</v>
      </c>
      <c r="DY30" s="41"/>
    </row>
    <row r="31" spans="2:129" ht="18" customHeight="1">
      <c r="B31" s="29" t="s">
        <v>9</v>
      </c>
      <c r="C31" s="42"/>
      <c r="D31" s="30"/>
      <c r="E31" s="43"/>
      <c r="F31" s="43"/>
      <c r="G31" s="33">
        <f>SUM(G26:G30)</f>
        <v>130451.36</v>
      </c>
      <c r="H31" s="33">
        <f>SUM(H26:H30)</f>
        <v>13045.135999999999</v>
      </c>
      <c r="I31" s="33">
        <f>SUM(I26:I30)</f>
        <v>117406.22400000002</v>
      </c>
      <c r="J31" s="33" t="e">
        <f>SUM(#REF!)</f>
        <v>#REF!</v>
      </c>
      <c r="K31" s="33" t="e">
        <f>SUM(#REF!)</f>
        <v>#REF!</v>
      </c>
      <c r="L31" s="33" t="e">
        <f>SUM(#REF!)</f>
        <v>#REF!</v>
      </c>
      <c r="M31" s="33" t="e">
        <f>SUM(#REF!)</f>
        <v>#REF!</v>
      </c>
      <c r="N31" s="33" t="e">
        <f>SUM(#REF!)</f>
        <v>#REF!</v>
      </c>
      <c r="O31" s="33" t="e">
        <f>SUM(#REF!)</f>
        <v>#REF!</v>
      </c>
      <c r="P31" s="33" t="e">
        <f>SUM(#REF!)</f>
        <v>#REF!</v>
      </c>
      <c r="Q31" s="33" t="e">
        <f>SUM(#REF!)</f>
        <v>#REF!</v>
      </c>
      <c r="R31" s="33" t="e">
        <f>SUM(#REF!)</f>
        <v>#REF!</v>
      </c>
      <c r="S31" s="33" t="e">
        <f>SUM(#REF!)</f>
        <v>#REF!</v>
      </c>
      <c r="T31" s="33" t="e">
        <f>SUM(#REF!)</f>
        <v>#REF!</v>
      </c>
      <c r="U31" s="33" t="e">
        <f>SUM(#REF!)</f>
        <v>#REF!</v>
      </c>
      <c r="V31" s="33" t="e">
        <f>SUM(#REF!)</f>
        <v>#REF!</v>
      </c>
      <c r="W31" s="33">
        <f>SUM(W26:W27)</f>
        <v>0</v>
      </c>
      <c r="X31" s="33" t="e">
        <f>SUM(#REF!)</f>
        <v>#REF!</v>
      </c>
      <c r="Y31" s="33" t="e">
        <f>SUM(#REF!)</f>
        <v>#REF!</v>
      </c>
      <c r="Z31" s="33" t="e">
        <f>SUM(#REF!)</f>
        <v>#REF!</v>
      </c>
      <c r="AA31" s="33" t="e">
        <f>SUM(#REF!)</f>
        <v>#REF!</v>
      </c>
      <c r="AB31" s="33" t="e">
        <f>SUM(#REF!)</f>
        <v>#REF!</v>
      </c>
      <c r="AC31" s="33" t="e">
        <f>SUM(#REF!)</f>
        <v>#REF!</v>
      </c>
      <c r="AD31" s="33">
        <f>SUM(AD26:AD26)</f>
        <v>45.13</v>
      </c>
      <c r="AE31" s="33">
        <f>SUM(AE26:AE26)</f>
        <v>233.16</v>
      </c>
      <c r="AF31" s="33">
        <f>SUM(AF26:AF26)</f>
        <v>225.64</v>
      </c>
      <c r="AG31" s="33">
        <f>SUM(AG26:AG26)</f>
        <v>233.16</v>
      </c>
      <c r="AH31" s="33">
        <f t="shared" ref="AH31:BR31" si="109">SUM(AH26:AH27)</f>
        <v>225.64</v>
      </c>
      <c r="AI31" s="33">
        <f t="shared" si="109"/>
        <v>296.74</v>
      </c>
      <c r="AJ31" s="33">
        <f t="shared" si="109"/>
        <v>1259.47</v>
      </c>
      <c r="AK31" s="33">
        <f t="shared" si="109"/>
        <v>1259.47</v>
      </c>
      <c r="AL31" s="33">
        <f t="shared" si="109"/>
        <v>430.27</v>
      </c>
      <c r="AM31" s="33">
        <f t="shared" si="109"/>
        <v>388.63</v>
      </c>
      <c r="AN31" s="33">
        <f t="shared" si="109"/>
        <v>430.27</v>
      </c>
      <c r="AO31" s="33">
        <f t="shared" si="109"/>
        <v>416.39</v>
      </c>
      <c r="AP31" s="33">
        <f t="shared" si="109"/>
        <v>430.27</v>
      </c>
      <c r="AQ31" s="33">
        <f t="shared" si="109"/>
        <v>416.39</v>
      </c>
      <c r="AR31" s="33">
        <f t="shared" si="109"/>
        <v>430.27</v>
      </c>
      <c r="AS31" s="33">
        <f t="shared" si="109"/>
        <v>430.27</v>
      </c>
      <c r="AT31" s="33">
        <f t="shared" si="109"/>
        <v>416.39</v>
      </c>
      <c r="AU31" s="33">
        <f t="shared" si="109"/>
        <v>430.27</v>
      </c>
      <c r="AV31" s="33">
        <f t="shared" si="109"/>
        <v>416.39</v>
      </c>
      <c r="AW31" s="33">
        <f t="shared" si="109"/>
        <v>430.27</v>
      </c>
      <c r="AX31" s="33">
        <f t="shared" si="109"/>
        <v>5066.08</v>
      </c>
      <c r="AY31" s="33">
        <f t="shared" si="109"/>
        <v>6325.55</v>
      </c>
      <c r="AZ31" s="33">
        <f t="shared" si="109"/>
        <v>430.27</v>
      </c>
      <c r="BA31" s="33">
        <f t="shared" si="109"/>
        <v>388.63</v>
      </c>
      <c r="BB31" s="33">
        <f t="shared" si="109"/>
        <v>430.27</v>
      </c>
      <c r="BC31" s="33">
        <f t="shared" si="109"/>
        <v>416.39</v>
      </c>
      <c r="BD31" s="33">
        <f t="shared" si="109"/>
        <v>430.27</v>
      </c>
      <c r="BE31" s="33">
        <f t="shared" si="109"/>
        <v>416.39</v>
      </c>
      <c r="BF31" s="33">
        <f t="shared" si="109"/>
        <v>430.27</v>
      </c>
      <c r="BG31" s="33">
        <f t="shared" si="109"/>
        <v>430.27</v>
      </c>
      <c r="BH31" s="33">
        <f t="shared" si="109"/>
        <v>416.39</v>
      </c>
      <c r="BI31" s="33">
        <f t="shared" si="109"/>
        <v>430.27</v>
      </c>
      <c r="BJ31" s="33">
        <f t="shared" si="109"/>
        <v>416.39</v>
      </c>
      <c r="BK31" s="33">
        <f t="shared" si="109"/>
        <v>430.27</v>
      </c>
      <c r="BL31" s="33">
        <f t="shared" si="109"/>
        <v>5066.08</v>
      </c>
      <c r="BM31" s="33">
        <f t="shared" si="109"/>
        <v>11391.630000000001</v>
      </c>
      <c r="BN31" s="33">
        <f t="shared" si="109"/>
        <v>430.27</v>
      </c>
      <c r="BO31" s="33">
        <f t="shared" si="109"/>
        <v>388.63</v>
      </c>
      <c r="BP31" s="33">
        <f t="shared" si="109"/>
        <v>430.27</v>
      </c>
      <c r="BQ31" s="33">
        <f t="shared" si="109"/>
        <v>416.39</v>
      </c>
      <c r="BR31" s="33">
        <f t="shared" si="109"/>
        <v>430.27</v>
      </c>
      <c r="BS31" s="33">
        <f t="shared" ref="BS31:BY31" si="110">SUM(BS26:BS28)</f>
        <v>416.39</v>
      </c>
      <c r="BT31" s="33">
        <f t="shared" si="110"/>
        <v>543.64</v>
      </c>
      <c r="BU31" s="33">
        <f t="shared" si="110"/>
        <v>583.06999999999994</v>
      </c>
      <c r="BV31" s="33">
        <f t="shared" si="110"/>
        <v>564.26</v>
      </c>
      <c r="BW31" s="33">
        <f t="shared" si="110"/>
        <v>583.06999999999994</v>
      </c>
      <c r="BX31" s="33">
        <f t="shared" si="110"/>
        <v>564.26</v>
      </c>
      <c r="BY31" s="33">
        <f t="shared" si="110"/>
        <v>583.06999999999994</v>
      </c>
      <c r="BZ31" s="33">
        <f>SUM(BN31:BY31)</f>
        <v>5933.5899999999992</v>
      </c>
      <c r="CA31" s="33">
        <f>SUM(BO31:BZ31)</f>
        <v>11436.91</v>
      </c>
      <c r="CB31" s="33">
        <f t="shared" ref="CB31:CI31" si="111">SUM(CB26:CB28)</f>
        <v>583.06999999999994</v>
      </c>
      <c r="CC31" s="33">
        <f t="shared" si="111"/>
        <v>545.45000000000005</v>
      </c>
      <c r="CD31" s="33">
        <f t="shared" si="111"/>
        <v>583.06999999999994</v>
      </c>
      <c r="CE31" s="33">
        <f t="shared" si="111"/>
        <v>564.26</v>
      </c>
      <c r="CF31" s="33">
        <f t="shared" si="111"/>
        <v>583.06999999999994</v>
      </c>
      <c r="CG31" s="33">
        <f t="shared" si="111"/>
        <v>564.26</v>
      </c>
      <c r="CH31" s="33">
        <f t="shared" si="111"/>
        <v>583.06999999999994</v>
      </c>
      <c r="CI31" s="33">
        <f t="shared" si="111"/>
        <v>583.06999999999994</v>
      </c>
      <c r="CJ31" s="33">
        <f t="shared" ref="CJ31:DE31" si="112">SUM(CJ26:CJ29)</f>
        <v>654.87</v>
      </c>
      <c r="CK31" s="33">
        <f t="shared" si="112"/>
        <v>705.19999999999993</v>
      </c>
      <c r="CL31" s="33">
        <f t="shared" si="112"/>
        <v>682.45</v>
      </c>
      <c r="CM31" s="33">
        <f t="shared" si="112"/>
        <v>705.19999999999993</v>
      </c>
      <c r="CN31" s="33">
        <f t="shared" si="112"/>
        <v>7337.0400000000009</v>
      </c>
      <c r="CO31" s="33">
        <f t="shared" si="112"/>
        <v>24662.26</v>
      </c>
      <c r="CP31" s="33">
        <f t="shared" si="112"/>
        <v>705.19999999999993</v>
      </c>
      <c r="CQ31" s="33">
        <f t="shared" si="112"/>
        <v>636.95000000000005</v>
      </c>
      <c r="CR31" s="33">
        <f t="shared" si="112"/>
        <v>705.19999999999993</v>
      </c>
      <c r="CS31" s="33">
        <f t="shared" si="112"/>
        <v>682.45</v>
      </c>
      <c r="CT31" s="33">
        <f t="shared" si="112"/>
        <v>705.19999999999993</v>
      </c>
      <c r="CU31" s="33">
        <f t="shared" si="112"/>
        <v>682.45</v>
      </c>
      <c r="CV31" s="33">
        <f t="shared" si="112"/>
        <v>705.19999999999993</v>
      </c>
      <c r="CW31" s="33">
        <f t="shared" si="112"/>
        <v>705.19999999999993</v>
      </c>
      <c r="CX31" s="33">
        <f t="shared" si="112"/>
        <v>682.45</v>
      </c>
      <c r="CY31" s="33">
        <f t="shared" si="112"/>
        <v>705.19999999999993</v>
      </c>
      <c r="CZ31" s="33">
        <f t="shared" si="112"/>
        <v>682.45</v>
      </c>
      <c r="DA31" s="33">
        <f t="shared" si="112"/>
        <v>705.19999999999993</v>
      </c>
      <c r="DB31" s="33">
        <f t="shared" si="112"/>
        <v>8303.15</v>
      </c>
      <c r="DC31" s="33">
        <f t="shared" si="112"/>
        <v>32965.409999999996</v>
      </c>
      <c r="DD31" s="33">
        <f t="shared" si="112"/>
        <v>705.19999999999993</v>
      </c>
      <c r="DE31" s="33">
        <f t="shared" si="112"/>
        <v>636.95000000000005</v>
      </c>
      <c r="DF31" s="33">
        <f>SUM(DF26:DF30)</f>
        <v>912.38999999999987</v>
      </c>
      <c r="DG31" s="33">
        <f>SUM(DG26:DG30)</f>
        <v>964.98</v>
      </c>
      <c r="DH31" s="33">
        <f>SUM(DH26:DH30)</f>
        <v>997.14999999999986</v>
      </c>
      <c r="DI31" s="33">
        <f>SUM(DI26:DI30)</f>
        <v>964.98</v>
      </c>
      <c r="DJ31" s="33"/>
      <c r="DK31" s="33"/>
      <c r="DL31" s="33"/>
      <c r="DM31" s="33"/>
      <c r="DN31" s="33"/>
      <c r="DO31" s="33"/>
      <c r="DP31" s="33">
        <f>SUM(DP26:DP30)</f>
        <v>5181.6500000000005</v>
      </c>
      <c r="DQ31" s="33">
        <f>SUM(DQ26:DQ30)</f>
        <v>38147.060000000005</v>
      </c>
      <c r="DR31" s="33">
        <f>SUM(DR26:DR30)</f>
        <v>92304.3</v>
      </c>
    </row>
    <row r="32" spans="2:129" ht="8.25">
      <c r="B32" s="44" t="s">
        <v>109</v>
      </c>
      <c r="C32" s="45"/>
      <c r="D32" s="45"/>
      <c r="E32" s="46"/>
      <c r="F32" s="46"/>
      <c r="G32" s="22"/>
      <c r="H32" s="22"/>
      <c r="I32" s="22"/>
      <c r="J32" s="22"/>
      <c r="K32" s="22"/>
      <c r="L32" s="22"/>
      <c r="M32" s="21"/>
      <c r="N32" s="22"/>
      <c r="O32" s="22"/>
      <c r="P32" s="22"/>
      <c r="Q32" s="22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34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</row>
    <row r="33" spans="2:123" ht="41.25">
      <c r="B33" s="35">
        <v>41452</v>
      </c>
      <c r="C33" s="36" t="s">
        <v>114</v>
      </c>
      <c r="D33" s="47" t="s">
        <v>115</v>
      </c>
      <c r="E33" s="46" t="s">
        <v>116</v>
      </c>
      <c r="F33" s="46" t="s">
        <v>117</v>
      </c>
      <c r="G33" s="21">
        <v>3700</v>
      </c>
      <c r="H33" s="21">
        <f t="shared" ref="H33:H83" si="113">(G33*0.1)</f>
        <v>370</v>
      </c>
      <c r="I33" s="21">
        <f t="shared" ref="I33:I83" si="114">(G33*0.9)</f>
        <v>3330</v>
      </c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>
        <f t="shared" ref="AJ33:AJ36" si="115">SUM(X33:AI33)</f>
        <v>0</v>
      </c>
      <c r="AK33" s="21">
        <f t="shared" ref="AK33:AK38" si="116">ROUND((W33+X33+Y33+Z33+AA33+AB33+AC33+AD33+AE33+AF33+AG33+AH33+AI33),2)</f>
        <v>0</v>
      </c>
      <c r="AL33" s="21"/>
      <c r="AM33" s="21"/>
      <c r="AN33" s="21"/>
      <c r="AO33" s="21"/>
      <c r="AP33" s="21"/>
      <c r="AQ33" s="21">
        <f>ROUND((I33/5/365*3),2)</f>
        <v>5.47</v>
      </c>
      <c r="AR33" s="21">
        <f t="shared" ref="AR33:AR36" si="117">ROUND((I33/5/365*31),2)</f>
        <v>56.56</v>
      </c>
      <c r="AS33" s="21">
        <f t="shared" ref="AS33:AS36" si="118">ROUND((I33/5/365*31),2)</f>
        <v>56.56</v>
      </c>
      <c r="AT33" s="21">
        <f t="shared" ref="AT33:AT36" si="119">ROUND((I33/5/365*30),2)</f>
        <v>54.74</v>
      </c>
      <c r="AU33" s="21">
        <f t="shared" ref="AU33:AU36" si="120">ROUND((I33/5/365*31),2)</f>
        <v>56.56</v>
      </c>
      <c r="AV33" s="21">
        <f t="shared" ref="AV33:AV36" si="121">ROUND((I33/5/365*30),2)</f>
        <v>54.74</v>
      </c>
      <c r="AW33" s="21">
        <f t="shared" ref="AW33:AW38" si="122">ROUND((I33/5/365*31),2)</f>
        <v>56.56</v>
      </c>
      <c r="AX33" s="21">
        <f t="shared" ref="AX33:AX39" si="123">SUM(AL33:AW33)</f>
        <v>341.19</v>
      </c>
      <c r="AY33" s="21">
        <f t="shared" ref="AY33:AY44" si="124">ROUND((AK33+AL33+AM33+AN33+AO33+AP33+AQ33+AR33+AS33+AT33+AU33+AV33+AW33),2)</f>
        <v>341.19</v>
      </c>
      <c r="AZ33" s="21">
        <f t="shared" ref="AZ33:AZ39" si="125">ROUND((I33/5/365*31),2)</f>
        <v>56.56</v>
      </c>
      <c r="BA33" s="21">
        <f t="shared" ref="BA33:BA39" si="126">ROUND((I33/5/365*28),2)</f>
        <v>51.09</v>
      </c>
      <c r="BB33" s="21">
        <f t="shared" ref="BB33:BB39" si="127">ROUND((I33/5/365*31),2)</f>
        <v>56.56</v>
      </c>
      <c r="BC33" s="21">
        <f t="shared" ref="BC33:BC39" si="128">ROUND((I33/5/365*30),2)</f>
        <v>54.74</v>
      </c>
      <c r="BD33" s="21">
        <f t="shared" ref="BD33:BD39" si="129">ROUND((I33/5/365*31),2)</f>
        <v>56.56</v>
      </c>
      <c r="BE33" s="21">
        <f t="shared" ref="BE33:BE44" si="130">ROUND((I33/5/365*30),2)</f>
        <v>54.74</v>
      </c>
      <c r="BF33" s="21">
        <f t="shared" ref="BF33:BF44" si="131">ROUND((I33/5/365*31),2)</f>
        <v>56.56</v>
      </c>
      <c r="BG33" s="21">
        <f t="shared" ref="BG33:BG44" si="132">ROUND((I33/5/365*31),2)</f>
        <v>56.56</v>
      </c>
      <c r="BH33" s="21">
        <f t="shared" ref="BH33:BH44" si="133">ROUND((I33/5/365*30),2)</f>
        <v>54.74</v>
      </c>
      <c r="BI33" s="21">
        <f t="shared" ref="BI33:BI44" si="134">ROUND((I33/5/365*31),2)</f>
        <v>56.56</v>
      </c>
      <c r="BJ33" s="21">
        <f t="shared" ref="BJ33:BJ44" si="135">ROUND((I33/5/365*30),2)</f>
        <v>54.74</v>
      </c>
      <c r="BK33" s="21">
        <f t="shared" ref="BK33:BK44" si="136">ROUND((I33/5/365*31),2)</f>
        <v>56.56</v>
      </c>
      <c r="BL33" s="21">
        <f t="shared" ref="BL33:BL50" si="137">SUM(AZ33:BK33)</f>
        <v>665.97</v>
      </c>
      <c r="BM33" s="21">
        <f t="shared" ref="BM33:BM50" si="138">ROUND((AY33+BL33),2)</f>
        <v>1007.16</v>
      </c>
      <c r="BN33" s="21">
        <f t="shared" ref="BN33:BN50" si="139">ROUND((I33/5/365*31),2)</f>
        <v>56.56</v>
      </c>
      <c r="BO33" s="21">
        <f t="shared" ref="BO33:BO50" si="140">ROUND((I33/5/365*28),2)</f>
        <v>51.09</v>
      </c>
      <c r="BP33" s="21">
        <f t="shared" ref="BP33:BP50" si="141">ROUND((I33/5/365*31),2)</f>
        <v>56.56</v>
      </c>
      <c r="BQ33" s="21">
        <f t="shared" ref="BQ33:BQ50" si="142">ROUND((I33/5/365*30),2)</f>
        <v>54.74</v>
      </c>
      <c r="BR33" s="21">
        <f t="shared" ref="BR33:BR50" si="143">ROUND((I33/5/365*31),2)</f>
        <v>56.56</v>
      </c>
      <c r="BS33" s="21">
        <f t="shared" ref="BS33:BS50" si="144">ROUND((I33/5/365*30),2)</f>
        <v>54.74</v>
      </c>
      <c r="BT33" s="21">
        <f t="shared" ref="BT33:BT50" si="145">ROUND((I33/5/365*31),2)</f>
        <v>56.56</v>
      </c>
      <c r="BU33" s="21">
        <f t="shared" ref="BU33:BU50" si="146">ROUND((I33/5/365*31),2)</f>
        <v>56.56</v>
      </c>
      <c r="BV33" s="21">
        <f t="shared" ref="BV33:BV50" si="147">ROUND((I33/5/365*30),2)</f>
        <v>54.74</v>
      </c>
      <c r="BW33" s="21">
        <f t="shared" ref="BW33:BW50" si="148">ROUND((I33/5/365*31),2)</f>
        <v>56.56</v>
      </c>
      <c r="BX33" s="21">
        <f t="shared" ref="BX33:BX51" si="149">ROUND((I33/5/365*30),2)</f>
        <v>54.74</v>
      </c>
      <c r="BY33" s="21">
        <f t="shared" ref="BY33:BY53" si="150">ROUND((I33/5/365*31),2)</f>
        <v>56.56</v>
      </c>
      <c r="BZ33" s="21">
        <f t="shared" ref="BZ33:BZ53" si="151">SUM(BN33:BY33)</f>
        <v>665.97</v>
      </c>
      <c r="CA33" s="21">
        <f t="shared" ref="CA33:CA53" si="152">ROUND((BM33+BZ33),2)</f>
        <v>1673.13</v>
      </c>
      <c r="CB33" s="21">
        <f t="shared" ref="CB33:CB53" si="153">ROUND((I33/5/365*31),2)</f>
        <v>56.56</v>
      </c>
      <c r="CC33" s="21">
        <f t="shared" ref="CC33:CC53" si="154">ROUND((I33/5/365*29),2)</f>
        <v>52.92</v>
      </c>
      <c r="CD33" s="21">
        <f t="shared" ref="CD33:CD53" si="155">ROUND((I33/5/365*31),2)</f>
        <v>56.56</v>
      </c>
      <c r="CE33" s="21">
        <f t="shared" ref="CE33:CE53" si="156">ROUND((I33/5/365*30),2)</f>
        <v>54.74</v>
      </c>
      <c r="CF33" s="21">
        <f t="shared" ref="CF33:CF53" si="157">ROUND((I33/5/365*31),2)</f>
        <v>56.56</v>
      </c>
      <c r="CG33" s="21">
        <f t="shared" ref="CG33:CG60" si="158">ROUND((I33/5/365*30),2)</f>
        <v>54.74</v>
      </c>
      <c r="CH33" s="21">
        <f t="shared" ref="CH33:CH60" si="159">ROUND((I33/5/365*31),2)</f>
        <v>56.56</v>
      </c>
      <c r="CI33" s="21">
        <f t="shared" ref="CI33:CI60" si="160">ROUND((I33/5/365*31),2)</f>
        <v>56.56</v>
      </c>
      <c r="CJ33" s="21">
        <f t="shared" ref="CJ33:CJ64" si="161">ROUND((I33/5/365*30),2)</f>
        <v>54.74</v>
      </c>
      <c r="CK33" s="21">
        <f t="shared" ref="CK33:CK64" si="162">ROUND((I33/5/365*31),2)</f>
        <v>56.56</v>
      </c>
      <c r="CL33" s="21">
        <f t="shared" ref="CL33:CL64" si="163">ROUND((I33/5/365*30),2)</f>
        <v>54.74</v>
      </c>
      <c r="CM33" s="21">
        <f t="shared" ref="CM33:CM64" si="164">ROUND((I33/5/365*31),2)</f>
        <v>56.56</v>
      </c>
      <c r="CN33" s="21">
        <f t="shared" ref="CN33:CN72" si="165">SUM(CB33:CM33)</f>
        <v>667.8</v>
      </c>
      <c r="CO33" s="26">
        <f t="shared" ref="CO33:CO72" si="166">ROUND((CA33+CN33),2)</f>
        <v>2340.9299999999998</v>
      </c>
      <c r="CP33" s="21">
        <f t="shared" ref="CP33:CP72" si="167">ROUND((I33/5/365*31),2)</f>
        <v>56.56</v>
      </c>
      <c r="CQ33" s="21">
        <f t="shared" ref="CQ33:CQ72" si="168">ROUND((I33/5/365*28),2)</f>
        <v>51.09</v>
      </c>
      <c r="CR33" s="21">
        <f t="shared" ref="CR33:CR72" si="169">ROUND((I33/5/365*31),2)</f>
        <v>56.56</v>
      </c>
      <c r="CS33" s="21">
        <f t="shared" ref="CS33:CS72" si="170">ROUND((I33/5/365*30),2)</f>
        <v>54.74</v>
      </c>
      <c r="CT33" s="27">
        <f t="shared" ref="CT33:CT72" si="171">ROUND((I33/5/365*31),2)</f>
        <v>56.56</v>
      </c>
      <c r="CU33" s="21">
        <f t="shared" ref="CU33:CU73" si="172">ROUND((I33/5/365*30),2)</f>
        <v>54.74</v>
      </c>
      <c r="CV33" s="21">
        <f t="shared" ref="CV33:CV73" si="173">ROUND((I33/5/365*31),2)</f>
        <v>56.56</v>
      </c>
      <c r="CW33" s="21">
        <f t="shared" ref="CW33:CW73" si="174">ROUND((I33/5/365*31),2)</f>
        <v>56.56</v>
      </c>
      <c r="CX33" s="21">
        <f t="shared" ref="CX33:CX75" si="175">ROUND((I33/5/365*30),2)</f>
        <v>54.74</v>
      </c>
      <c r="CY33" s="21">
        <f t="shared" ref="CY33:CY75" si="176">ROUND((I33/5/365*31),2)</f>
        <v>56.56</v>
      </c>
      <c r="CZ33" s="21">
        <f t="shared" ref="CZ33:CZ77" si="177">ROUND((I33/5/365*30),2)</f>
        <v>54.74</v>
      </c>
      <c r="DA33" s="21">
        <f t="shared" ref="DA33:DA78" si="178">ROUND((I33/5/365*31),2)</f>
        <v>56.56</v>
      </c>
      <c r="DB33" s="26">
        <f t="shared" ref="DB33:DB46" si="179">SUM(CP33:DA33)</f>
        <v>665.97</v>
      </c>
      <c r="DC33" s="26">
        <f t="shared" ref="DC33:DC78" si="180">ROUND((CO33+DB33),2)</f>
        <v>3006.9</v>
      </c>
      <c r="DD33" s="21">
        <f t="shared" ref="DD33:DD78" si="181">ROUND((I33/5/365*31),2)</f>
        <v>56.56</v>
      </c>
      <c r="DE33" s="21">
        <f>ROUND((I33/5/365*28),2)</f>
        <v>51.09</v>
      </c>
      <c r="DF33" s="21">
        <f>ROUND((I33/5/365*31),2)</f>
        <v>56.56</v>
      </c>
      <c r="DG33" s="21">
        <f>ROUND((I33/5/365*30),2)</f>
        <v>54.74</v>
      </c>
      <c r="DH33" s="21">
        <f>ROUND((I33/5/365*31),2)</f>
        <v>56.56</v>
      </c>
      <c r="DI33" s="21">
        <v>47.59</v>
      </c>
      <c r="DJ33" s="26"/>
      <c r="DK33" s="26"/>
      <c r="DL33" s="26"/>
      <c r="DM33" s="26"/>
      <c r="DN33" s="26"/>
      <c r="DO33" s="26"/>
      <c r="DP33" s="26">
        <f>SUM(DD33:DO33)</f>
        <v>323.10000000000002</v>
      </c>
      <c r="DQ33" s="21">
        <f>ROUND((DC33+DD33+DE33+DF33+DG33+DH33+DI33+DJ33+DK33+DL33+DM33+DN33+DO33),2)</f>
        <v>3330</v>
      </c>
      <c r="DR33" s="21">
        <f t="shared" ref="DR33:DR83" si="182">SUM(G33-DQ33)</f>
        <v>370</v>
      </c>
    </row>
    <row r="34" spans="2:123" ht="41.25">
      <c r="B34" s="35">
        <v>41452</v>
      </c>
      <c r="C34" s="36" t="s">
        <v>114</v>
      </c>
      <c r="D34" s="47" t="s">
        <v>118</v>
      </c>
      <c r="E34" s="46" t="s">
        <v>116</v>
      </c>
      <c r="F34" s="46" t="s">
        <v>119</v>
      </c>
      <c r="G34" s="21">
        <v>3700</v>
      </c>
      <c r="H34" s="21">
        <f t="shared" si="113"/>
        <v>370</v>
      </c>
      <c r="I34" s="21">
        <f t="shared" si="114"/>
        <v>3330</v>
      </c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>
        <f t="shared" si="115"/>
        <v>0</v>
      </c>
      <c r="AK34" s="21">
        <f t="shared" si="116"/>
        <v>0</v>
      </c>
      <c r="AL34" s="21"/>
      <c r="AM34" s="21"/>
      <c r="AN34" s="21"/>
      <c r="AO34" s="21"/>
      <c r="AP34" s="21"/>
      <c r="AQ34" s="21">
        <f>ROUND((I34/5/365*3),2)</f>
        <v>5.47</v>
      </c>
      <c r="AR34" s="21">
        <f t="shared" si="117"/>
        <v>56.56</v>
      </c>
      <c r="AS34" s="21">
        <f t="shared" si="118"/>
        <v>56.56</v>
      </c>
      <c r="AT34" s="21">
        <f t="shared" si="119"/>
        <v>54.74</v>
      </c>
      <c r="AU34" s="21">
        <f t="shared" si="120"/>
        <v>56.56</v>
      </c>
      <c r="AV34" s="21">
        <f t="shared" si="121"/>
        <v>54.74</v>
      </c>
      <c r="AW34" s="21">
        <f t="shared" si="122"/>
        <v>56.56</v>
      </c>
      <c r="AX34" s="21">
        <f t="shared" si="123"/>
        <v>341.19</v>
      </c>
      <c r="AY34" s="21">
        <f t="shared" si="124"/>
        <v>341.19</v>
      </c>
      <c r="AZ34" s="21">
        <f t="shared" si="125"/>
        <v>56.56</v>
      </c>
      <c r="BA34" s="21">
        <f t="shared" si="126"/>
        <v>51.09</v>
      </c>
      <c r="BB34" s="21">
        <f t="shared" si="127"/>
        <v>56.56</v>
      </c>
      <c r="BC34" s="21">
        <f t="shared" si="128"/>
        <v>54.74</v>
      </c>
      <c r="BD34" s="21">
        <f t="shared" si="129"/>
        <v>56.56</v>
      </c>
      <c r="BE34" s="21">
        <f t="shared" si="130"/>
        <v>54.74</v>
      </c>
      <c r="BF34" s="21">
        <f t="shared" si="131"/>
        <v>56.56</v>
      </c>
      <c r="BG34" s="21">
        <f t="shared" si="132"/>
        <v>56.56</v>
      </c>
      <c r="BH34" s="21">
        <f t="shared" si="133"/>
        <v>54.74</v>
      </c>
      <c r="BI34" s="21">
        <f t="shared" si="134"/>
        <v>56.56</v>
      </c>
      <c r="BJ34" s="21">
        <f t="shared" si="135"/>
        <v>54.74</v>
      </c>
      <c r="BK34" s="21">
        <f t="shared" si="136"/>
        <v>56.56</v>
      </c>
      <c r="BL34" s="21">
        <f t="shared" si="137"/>
        <v>665.97</v>
      </c>
      <c r="BM34" s="21">
        <f t="shared" si="138"/>
        <v>1007.16</v>
      </c>
      <c r="BN34" s="21">
        <f t="shared" si="139"/>
        <v>56.56</v>
      </c>
      <c r="BO34" s="21">
        <f t="shared" si="140"/>
        <v>51.09</v>
      </c>
      <c r="BP34" s="21">
        <f t="shared" si="141"/>
        <v>56.56</v>
      </c>
      <c r="BQ34" s="21">
        <f t="shared" si="142"/>
        <v>54.74</v>
      </c>
      <c r="BR34" s="21">
        <f t="shared" si="143"/>
        <v>56.56</v>
      </c>
      <c r="BS34" s="21">
        <f t="shared" si="144"/>
        <v>54.74</v>
      </c>
      <c r="BT34" s="21">
        <f t="shared" si="145"/>
        <v>56.56</v>
      </c>
      <c r="BU34" s="21">
        <f t="shared" si="146"/>
        <v>56.56</v>
      </c>
      <c r="BV34" s="21">
        <f t="shared" si="147"/>
        <v>54.74</v>
      </c>
      <c r="BW34" s="21">
        <f t="shared" si="148"/>
        <v>56.56</v>
      </c>
      <c r="BX34" s="21">
        <f t="shared" si="149"/>
        <v>54.74</v>
      </c>
      <c r="BY34" s="21">
        <f t="shared" si="150"/>
        <v>56.56</v>
      </c>
      <c r="BZ34" s="21">
        <f t="shared" si="151"/>
        <v>665.97</v>
      </c>
      <c r="CA34" s="21">
        <f t="shared" si="152"/>
        <v>1673.13</v>
      </c>
      <c r="CB34" s="21">
        <f t="shared" si="153"/>
        <v>56.56</v>
      </c>
      <c r="CC34" s="21">
        <f t="shared" si="154"/>
        <v>52.92</v>
      </c>
      <c r="CD34" s="21">
        <f t="shared" si="155"/>
        <v>56.56</v>
      </c>
      <c r="CE34" s="21">
        <f t="shared" si="156"/>
        <v>54.74</v>
      </c>
      <c r="CF34" s="21">
        <f t="shared" si="157"/>
        <v>56.56</v>
      </c>
      <c r="CG34" s="21">
        <f t="shared" si="158"/>
        <v>54.74</v>
      </c>
      <c r="CH34" s="21">
        <f t="shared" si="159"/>
        <v>56.56</v>
      </c>
      <c r="CI34" s="21">
        <f t="shared" si="160"/>
        <v>56.56</v>
      </c>
      <c r="CJ34" s="21">
        <f t="shared" si="161"/>
        <v>54.74</v>
      </c>
      <c r="CK34" s="21">
        <f t="shared" si="162"/>
        <v>56.56</v>
      </c>
      <c r="CL34" s="21">
        <f t="shared" si="163"/>
        <v>54.74</v>
      </c>
      <c r="CM34" s="21">
        <f t="shared" si="164"/>
        <v>56.56</v>
      </c>
      <c r="CN34" s="21">
        <f t="shared" si="165"/>
        <v>667.8</v>
      </c>
      <c r="CO34" s="26">
        <f t="shared" si="166"/>
        <v>2340.9299999999998</v>
      </c>
      <c r="CP34" s="21">
        <f t="shared" si="167"/>
        <v>56.56</v>
      </c>
      <c r="CQ34" s="21">
        <f t="shared" si="168"/>
        <v>51.09</v>
      </c>
      <c r="CR34" s="21">
        <f t="shared" si="169"/>
        <v>56.56</v>
      </c>
      <c r="CS34" s="21">
        <f t="shared" si="170"/>
        <v>54.74</v>
      </c>
      <c r="CT34" s="27">
        <f t="shared" si="171"/>
        <v>56.56</v>
      </c>
      <c r="CU34" s="21">
        <f t="shared" si="172"/>
        <v>54.74</v>
      </c>
      <c r="CV34" s="21">
        <f t="shared" si="173"/>
        <v>56.56</v>
      </c>
      <c r="CW34" s="21">
        <f t="shared" si="174"/>
        <v>56.56</v>
      </c>
      <c r="CX34" s="21">
        <f t="shared" si="175"/>
        <v>54.74</v>
      </c>
      <c r="CY34" s="21">
        <f t="shared" si="176"/>
        <v>56.56</v>
      </c>
      <c r="CZ34" s="21">
        <f t="shared" si="177"/>
        <v>54.74</v>
      </c>
      <c r="DA34" s="21">
        <f t="shared" si="178"/>
        <v>56.56</v>
      </c>
      <c r="DB34" s="26">
        <f t="shared" si="179"/>
        <v>665.97</v>
      </c>
      <c r="DC34" s="26">
        <f t="shared" si="180"/>
        <v>3006.9</v>
      </c>
      <c r="DD34" s="21">
        <f t="shared" si="181"/>
        <v>56.56</v>
      </c>
      <c r="DE34" s="21">
        <f t="shared" ref="DE34:DE78" si="183">ROUND((I34/5/365*28),2)</f>
        <v>51.09</v>
      </c>
      <c r="DF34" s="21">
        <f>ROUND((I34/5/365*31),2)</f>
        <v>56.56</v>
      </c>
      <c r="DG34" s="21">
        <f t="shared" ref="DG34:DG80" si="184">ROUND((I34/5/365*30),2)</f>
        <v>54.74</v>
      </c>
      <c r="DH34" s="21">
        <f t="shared" ref="DH34:DH80" si="185">ROUND((I34/5/365*31),2)</f>
        <v>56.56</v>
      </c>
      <c r="DI34" s="21">
        <v>47.59</v>
      </c>
      <c r="DJ34" s="26"/>
      <c r="DK34" s="26"/>
      <c r="DL34" s="26"/>
      <c r="DM34" s="26"/>
      <c r="DN34" s="26"/>
      <c r="DO34" s="26"/>
      <c r="DP34" s="26">
        <f t="shared" ref="DP34:DP79" si="186">SUM(DD34:DO34)</f>
        <v>323.10000000000002</v>
      </c>
      <c r="DQ34" s="21">
        <f>ROUND((DC34+DD34+DE34+DF34+DG34+DH34+DI34+DJ34+DK34+DL34+DM34+DN34+DO34),2)</f>
        <v>3330</v>
      </c>
      <c r="DR34" s="21">
        <f t="shared" si="182"/>
        <v>370</v>
      </c>
    </row>
    <row r="35" spans="2:123" ht="41.25">
      <c r="B35" s="35">
        <v>41452</v>
      </c>
      <c r="C35" s="36" t="s">
        <v>114</v>
      </c>
      <c r="D35" s="47" t="s">
        <v>120</v>
      </c>
      <c r="E35" s="46" t="s">
        <v>121</v>
      </c>
      <c r="F35" s="46" t="s">
        <v>122</v>
      </c>
      <c r="G35" s="21">
        <v>3700</v>
      </c>
      <c r="H35" s="21">
        <f t="shared" si="113"/>
        <v>370</v>
      </c>
      <c r="I35" s="21">
        <f t="shared" si="114"/>
        <v>3330</v>
      </c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>
        <f t="shared" si="115"/>
        <v>0</v>
      </c>
      <c r="AK35" s="21">
        <f t="shared" si="116"/>
        <v>0</v>
      </c>
      <c r="AL35" s="21"/>
      <c r="AM35" s="21"/>
      <c r="AN35" s="21"/>
      <c r="AO35" s="21"/>
      <c r="AP35" s="21"/>
      <c r="AQ35" s="21">
        <f>ROUND((I35/5/365*3),2)</f>
        <v>5.47</v>
      </c>
      <c r="AR35" s="21">
        <f t="shared" si="117"/>
        <v>56.56</v>
      </c>
      <c r="AS35" s="21">
        <f t="shared" si="118"/>
        <v>56.56</v>
      </c>
      <c r="AT35" s="21">
        <f t="shared" si="119"/>
        <v>54.74</v>
      </c>
      <c r="AU35" s="21">
        <f t="shared" si="120"/>
        <v>56.56</v>
      </c>
      <c r="AV35" s="21">
        <f t="shared" si="121"/>
        <v>54.74</v>
      </c>
      <c r="AW35" s="21">
        <f t="shared" si="122"/>
        <v>56.56</v>
      </c>
      <c r="AX35" s="21">
        <f t="shared" si="123"/>
        <v>341.19</v>
      </c>
      <c r="AY35" s="21">
        <f t="shared" si="124"/>
        <v>341.19</v>
      </c>
      <c r="AZ35" s="21">
        <f t="shared" si="125"/>
        <v>56.56</v>
      </c>
      <c r="BA35" s="21">
        <f t="shared" si="126"/>
        <v>51.09</v>
      </c>
      <c r="BB35" s="21">
        <f t="shared" si="127"/>
        <v>56.56</v>
      </c>
      <c r="BC35" s="21">
        <f t="shared" si="128"/>
        <v>54.74</v>
      </c>
      <c r="BD35" s="21">
        <f t="shared" si="129"/>
        <v>56.56</v>
      </c>
      <c r="BE35" s="21">
        <f t="shared" si="130"/>
        <v>54.74</v>
      </c>
      <c r="BF35" s="21">
        <f t="shared" si="131"/>
        <v>56.56</v>
      </c>
      <c r="BG35" s="21">
        <f t="shared" si="132"/>
        <v>56.56</v>
      </c>
      <c r="BH35" s="21">
        <f t="shared" si="133"/>
        <v>54.74</v>
      </c>
      <c r="BI35" s="21">
        <f t="shared" si="134"/>
        <v>56.56</v>
      </c>
      <c r="BJ35" s="21">
        <f t="shared" si="135"/>
        <v>54.74</v>
      </c>
      <c r="BK35" s="21">
        <f t="shared" si="136"/>
        <v>56.56</v>
      </c>
      <c r="BL35" s="21">
        <f t="shared" si="137"/>
        <v>665.97</v>
      </c>
      <c r="BM35" s="21">
        <f t="shared" si="138"/>
        <v>1007.16</v>
      </c>
      <c r="BN35" s="21">
        <f t="shared" si="139"/>
        <v>56.56</v>
      </c>
      <c r="BO35" s="21">
        <f t="shared" si="140"/>
        <v>51.09</v>
      </c>
      <c r="BP35" s="21">
        <f t="shared" si="141"/>
        <v>56.56</v>
      </c>
      <c r="BQ35" s="21">
        <f t="shared" si="142"/>
        <v>54.74</v>
      </c>
      <c r="BR35" s="21">
        <f t="shared" si="143"/>
        <v>56.56</v>
      </c>
      <c r="BS35" s="21">
        <f t="shared" si="144"/>
        <v>54.74</v>
      </c>
      <c r="BT35" s="21">
        <f t="shared" si="145"/>
        <v>56.56</v>
      </c>
      <c r="BU35" s="21">
        <f t="shared" si="146"/>
        <v>56.56</v>
      </c>
      <c r="BV35" s="21">
        <f t="shared" si="147"/>
        <v>54.74</v>
      </c>
      <c r="BW35" s="21">
        <f t="shared" si="148"/>
        <v>56.56</v>
      </c>
      <c r="BX35" s="21">
        <f t="shared" si="149"/>
        <v>54.74</v>
      </c>
      <c r="BY35" s="21">
        <f t="shared" si="150"/>
        <v>56.56</v>
      </c>
      <c r="BZ35" s="21">
        <f t="shared" si="151"/>
        <v>665.97</v>
      </c>
      <c r="CA35" s="21">
        <f t="shared" si="152"/>
        <v>1673.13</v>
      </c>
      <c r="CB35" s="21">
        <f t="shared" si="153"/>
        <v>56.56</v>
      </c>
      <c r="CC35" s="21">
        <f t="shared" si="154"/>
        <v>52.92</v>
      </c>
      <c r="CD35" s="21">
        <f t="shared" si="155"/>
        <v>56.56</v>
      </c>
      <c r="CE35" s="21">
        <f t="shared" si="156"/>
        <v>54.74</v>
      </c>
      <c r="CF35" s="21">
        <f t="shared" si="157"/>
        <v>56.56</v>
      </c>
      <c r="CG35" s="21">
        <f t="shared" si="158"/>
        <v>54.74</v>
      </c>
      <c r="CH35" s="21">
        <f t="shared" si="159"/>
        <v>56.56</v>
      </c>
      <c r="CI35" s="21">
        <f t="shared" si="160"/>
        <v>56.56</v>
      </c>
      <c r="CJ35" s="21">
        <f t="shared" si="161"/>
        <v>54.74</v>
      </c>
      <c r="CK35" s="21">
        <f t="shared" si="162"/>
        <v>56.56</v>
      </c>
      <c r="CL35" s="21">
        <f t="shared" si="163"/>
        <v>54.74</v>
      </c>
      <c r="CM35" s="21">
        <f t="shared" si="164"/>
        <v>56.56</v>
      </c>
      <c r="CN35" s="21">
        <f t="shared" si="165"/>
        <v>667.8</v>
      </c>
      <c r="CO35" s="26">
        <f t="shared" si="166"/>
        <v>2340.9299999999998</v>
      </c>
      <c r="CP35" s="21">
        <f t="shared" si="167"/>
        <v>56.56</v>
      </c>
      <c r="CQ35" s="21">
        <f t="shared" si="168"/>
        <v>51.09</v>
      </c>
      <c r="CR35" s="21">
        <f t="shared" si="169"/>
        <v>56.56</v>
      </c>
      <c r="CS35" s="21">
        <f t="shared" si="170"/>
        <v>54.74</v>
      </c>
      <c r="CT35" s="27">
        <f t="shared" si="171"/>
        <v>56.56</v>
      </c>
      <c r="CU35" s="21">
        <f t="shared" si="172"/>
        <v>54.74</v>
      </c>
      <c r="CV35" s="21">
        <f t="shared" si="173"/>
        <v>56.56</v>
      </c>
      <c r="CW35" s="21">
        <f t="shared" si="174"/>
        <v>56.56</v>
      </c>
      <c r="CX35" s="21">
        <f t="shared" si="175"/>
        <v>54.74</v>
      </c>
      <c r="CY35" s="21">
        <f t="shared" si="176"/>
        <v>56.56</v>
      </c>
      <c r="CZ35" s="21">
        <f t="shared" si="177"/>
        <v>54.74</v>
      </c>
      <c r="DA35" s="21">
        <f t="shared" si="178"/>
        <v>56.56</v>
      </c>
      <c r="DB35" s="26">
        <f t="shared" si="179"/>
        <v>665.97</v>
      </c>
      <c r="DC35" s="26">
        <f t="shared" si="180"/>
        <v>3006.9</v>
      </c>
      <c r="DD35" s="21">
        <f t="shared" si="181"/>
        <v>56.56</v>
      </c>
      <c r="DE35" s="21">
        <f t="shared" si="183"/>
        <v>51.09</v>
      </c>
      <c r="DF35" s="21">
        <f t="shared" ref="DF35:DF77" si="187">ROUND((I35/5/365*31),2)</f>
        <v>56.56</v>
      </c>
      <c r="DG35" s="21">
        <f t="shared" si="184"/>
        <v>54.74</v>
      </c>
      <c r="DH35" s="21">
        <f t="shared" si="185"/>
        <v>56.56</v>
      </c>
      <c r="DI35" s="21">
        <v>47.59</v>
      </c>
      <c r="DJ35" s="26"/>
      <c r="DK35" s="26"/>
      <c r="DL35" s="26"/>
      <c r="DM35" s="26"/>
      <c r="DN35" s="26"/>
      <c r="DO35" s="26"/>
      <c r="DP35" s="26">
        <f t="shared" si="186"/>
        <v>323.10000000000002</v>
      </c>
      <c r="DQ35" s="21">
        <f t="shared" ref="DQ35:DQ83" si="188">ROUND((DC35+DD35+DE35+DF35+DG35+DH35+DI35+DJ35+DK35+DL35+DM35+DN35+DO35),2)</f>
        <v>3330</v>
      </c>
      <c r="DR35" s="21">
        <f t="shared" si="182"/>
        <v>370</v>
      </c>
    </row>
    <row r="36" spans="2:123" ht="41.25">
      <c r="B36" s="35">
        <v>41452</v>
      </c>
      <c r="C36" s="36" t="s">
        <v>114</v>
      </c>
      <c r="D36" s="47" t="s">
        <v>123</v>
      </c>
      <c r="E36" s="46" t="s">
        <v>105</v>
      </c>
      <c r="F36" s="46" t="s">
        <v>124</v>
      </c>
      <c r="G36" s="21">
        <v>3700</v>
      </c>
      <c r="H36" s="21">
        <f t="shared" si="113"/>
        <v>370</v>
      </c>
      <c r="I36" s="21">
        <f t="shared" si="114"/>
        <v>3330</v>
      </c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>
        <f t="shared" si="115"/>
        <v>0</v>
      </c>
      <c r="AK36" s="21">
        <f t="shared" si="116"/>
        <v>0</v>
      </c>
      <c r="AL36" s="21"/>
      <c r="AM36" s="21"/>
      <c r="AN36" s="21"/>
      <c r="AO36" s="21"/>
      <c r="AP36" s="21"/>
      <c r="AQ36" s="21">
        <f>ROUND((I36/5/365*3),2)</f>
        <v>5.47</v>
      </c>
      <c r="AR36" s="21">
        <f t="shared" si="117"/>
        <v>56.56</v>
      </c>
      <c r="AS36" s="21">
        <f t="shared" si="118"/>
        <v>56.56</v>
      </c>
      <c r="AT36" s="21">
        <f t="shared" si="119"/>
        <v>54.74</v>
      </c>
      <c r="AU36" s="21">
        <f t="shared" si="120"/>
        <v>56.56</v>
      </c>
      <c r="AV36" s="21">
        <f t="shared" si="121"/>
        <v>54.74</v>
      </c>
      <c r="AW36" s="21">
        <f t="shared" si="122"/>
        <v>56.56</v>
      </c>
      <c r="AX36" s="21">
        <f t="shared" si="123"/>
        <v>341.19</v>
      </c>
      <c r="AY36" s="21">
        <f t="shared" si="124"/>
        <v>341.19</v>
      </c>
      <c r="AZ36" s="21">
        <f t="shared" si="125"/>
        <v>56.56</v>
      </c>
      <c r="BA36" s="21">
        <f t="shared" si="126"/>
        <v>51.09</v>
      </c>
      <c r="BB36" s="21">
        <f t="shared" si="127"/>
        <v>56.56</v>
      </c>
      <c r="BC36" s="21">
        <f t="shared" si="128"/>
        <v>54.74</v>
      </c>
      <c r="BD36" s="21">
        <f t="shared" si="129"/>
        <v>56.56</v>
      </c>
      <c r="BE36" s="21">
        <f t="shared" si="130"/>
        <v>54.74</v>
      </c>
      <c r="BF36" s="21">
        <f t="shared" si="131"/>
        <v>56.56</v>
      </c>
      <c r="BG36" s="21">
        <f t="shared" si="132"/>
        <v>56.56</v>
      </c>
      <c r="BH36" s="21">
        <f t="shared" si="133"/>
        <v>54.74</v>
      </c>
      <c r="BI36" s="21">
        <f t="shared" si="134"/>
        <v>56.56</v>
      </c>
      <c r="BJ36" s="21">
        <f t="shared" si="135"/>
        <v>54.74</v>
      </c>
      <c r="BK36" s="21">
        <f t="shared" si="136"/>
        <v>56.56</v>
      </c>
      <c r="BL36" s="21">
        <f t="shared" si="137"/>
        <v>665.97</v>
      </c>
      <c r="BM36" s="21">
        <f t="shared" si="138"/>
        <v>1007.16</v>
      </c>
      <c r="BN36" s="21">
        <f t="shared" si="139"/>
        <v>56.56</v>
      </c>
      <c r="BO36" s="21">
        <f t="shared" si="140"/>
        <v>51.09</v>
      </c>
      <c r="BP36" s="21">
        <f t="shared" si="141"/>
        <v>56.56</v>
      </c>
      <c r="BQ36" s="21">
        <f t="shared" si="142"/>
        <v>54.74</v>
      </c>
      <c r="BR36" s="21">
        <f t="shared" si="143"/>
        <v>56.56</v>
      </c>
      <c r="BS36" s="21">
        <f t="shared" si="144"/>
        <v>54.74</v>
      </c>
      <c r="BT36" s="21">
        <f t="shared" si="145"/>
        <v>56.56</v>
      </c>
      <c r="BU36" s="21">
        <f t="shared" si="146"/>
        <v>56.56</v>
      </c>
      <c r="BV36" s="21">
        <f t="shared" si="147"/>
        <v>54.74</v>
      </c>
      <c r="BW36" s="21">
        <f t="shared" si="148"/>
        <v>56.56</v>
      </c>
      <c r="BX36" s="21">
        <f t="shared" si="149"/>
        <v>54.74</v>
      </c>
      <c r="BY36" s="21">
        <f t="shared" si="150"/>
        <v>56.56</v>
      </c>
      <c r="BZ36" s="21">
        <f t="shared" si="151"/>
        <v>665.97</v>
      </c>
      <c r="CA36" s="21">
        <f t="shared" si="152"/>
        <v>1673.13</v>
      </c>
      <c r="CB36" s="21">
        <f t="shared" si="153"/>
        <v>56.56</v>
      </c>
      <c r="CC36" s="21">
        <f t="shared" si="154"/>
        <v>52.92</v>
      </c>
      <c r="CD36" s="21">
        <f t="shared" si="155"/>
        <v>56.56</v>
      </c>
      <c r="CE36" s="21">
        <f t="shared" si="156"/>
        <v>54.74</v>
      </c>
      <c r="CF36" s="21">
        <f t="shared" si="157"/>
        <v>56.56</v>
      </c>
      <c r="CG36" s="21">
        <f t="shared" si="158"/>
        <v>54.74</v>
      </c>
      <c r="CH36" s="21">
        <f t="shared" si="159"/>
        <v>56.56</v>
      </c>
      <c r="CI36" s="21">
        <f t="shared" si="160"/>
        <v>56.56</v>
      </c>
      <c r="CJ36" s="21">
        <f t="shared" si="161"/>
        <v>54.74</v>
      </c>
      <c r="CK36" s="21">
        <f t="shared" si="162"/>
        <v>56.56</v>
      </c>
      <c r="CL36" s="21">
        <f t="shared" si="163"/>
        <v>54.74</v>
      </c>
      <c r="CM36" s="21">
        <f t="shared" si="164"/>
        <v>56.56</v>
      </c>
      <c r="CN36" s="21">
        <f t="shared" si="165"/>
        <v>667.8</v>
      </c>
      <c r="CO36" s="26">
        <f t="shared" si="166"/>
        <v>2340.9299999999998</v>
      </c>
      <c r="CP36" s="21">
        <f t="shared" si="167"/>
        <v>56.56</v>
      </c>
      <c r="CQ36" s="21">
        <f t="shared" si="168"/>
        <v>51.09</v>
      </c>
      <c r="CR36" s="21">
        <f t="shared" si="169"/>
        <v>56.56</v>
      </c>
      <c r="CS36" s="21">
        <f t="shared" si="170"/>
        <v>54.74</v>
      </c>
      <c r="CT36" s="27">
        <f t="shared" si="171"/>
        <v>56.56</v>
      </c>
      <c r="CU36" s="21">
        <f t="shared" si="172"/>
        <v>54.74</v>
      </c>
      <c r="CV36" s="21">
        <f t="shared" si="173"/>
        <v>56.56</v>
      </c>
      <c r="CW36" s="21">
        <f t="shared" si="174"/>
        <v>56.56</v>
      </c>
      <c r="CX36" s="21">
        <f t="shared" si="175"/>
        <v>54.74</v>
      </c>
      <c r="CY36" s="21">
        <f t="shared" si="176"/>
        <v>56.56</v>
      </c>
      <c r="CZ36" s="21">
        <f t="shared" si="177"/>
        <v>54.74</v>
      </c>
      <c r="DA36" s="21">
        <f t="shared" si="178"/>
        <v>56.56</v>
      </c>
      <c r="DB36" s="26">
        <f t="shared" si="179"/>
        <v>665.97</v>
      </c>
      <c r="DC36" s="26">
        <f t="shared" si="180"/>
        <v>3006.9</v>
      </c>
      <c r="DD36" s="21">
        <f t="shared" si="181"/>
        <v>56.56</v>
      </c>
      <c r="DE36" s="21">
        <f t="shared" si="183"/>
        <v>51.09</v>
      </c>
      <c r="DF36" s="21">
        <f t="shared" si="187"/>
        <v>56.56</v>
      </c>
      <c r="DG36" s="21">
        <f t="shared" si="184"/>
        <v>54.74</v>
      </c>
      <c r="DH36" s="21">
        <f t="shared" si="185"/>
        <v>56.56</v>
      </c>
      <c r="DI36" s="21">
        <v>47.59</v>
      </c>
      <c r="DJ36" s="26"/>
      <c r="DK36" s="26"/>
      <c r="DL36" s="26"/>
      <c r="DM36" s="26"/>
      <c r="DN36" s="26"/>
      <c r="DO36" s="26"/>
      <c r="DP36" s="26">
        <f t="shared" si="186"/>
        <v>323.10000000000002</v>
      </c>
      <c r="DQ36" s="21">
        <f t="shared" si="188"/>
        <v>3330</v>
      </c>
      <c r="DR36" s="21">
        <f t="shared" si="182"/>
        <v>370</v>
      </c>
    </row>
    <row r="37" spans="2:123" ht="16.5">
      <c r="B37" s="35">
        <v>41586</v>
      </c>
      <c r="C37" s="47" t="s">
        <v>125</v>
      </c>
      <c r="D37" s="47" t="s">
        <v>126</v>
      </c>
      <c r="E37" s="46" t="s">
        <v>112</v>
      </c>
      <c r="F37" s="46" t="s">
        <v>127</v>
      </c>
      <c r="G37" s="21">
        <v>1125</v>
      </c>
      <c r="H37" s="21">
        <f t="shared" si="113"/>
        <v>112.5</v>
      </c>
      <c r="I37" s="21">
        <f t="shared" si="114"/>
        <v>1012.5</v>
      </c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>
        <f t="shared" si="116"/>
        <v>0</v>
      </c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>
        <f>ROUND((I37/5/365*22),2)</f>
        <v>12.21</v>
      </c>
      <c r="AW37" s="21">
        <f t="shared" si="122"/>
        <v>17.2</v>
      </c>
      <c r="AX37" s="21">
        <f t="shared" si="123"/>
        <v>29.41</v>
      </c>
      <c r="AY37" s="21">
        <f t="shared" si="124"/>
        <v>29.41</v>
      </c>
      <c r="AZ37" s="21">
        <f t="shared" si="125"/>
        <v>17.2</v>
      </c>
      <c r="BA37" s="21">
        <f t="shared" si="126"/>
        <v>15.53</v>
      </c>
      <c r="BB37" s="21">
        <f t="shared" si="127"/>
        <v>17.2</v>
      </c>
      <c r="BC37" s="21">
        <f t="shared" si="128"/>
        <v>16.64</v>
      </c>
      <c r="BD37" s="21">
        <f t="shared" si="129"/>
        <v>17.2</v>
      </c>
      <c r="BE37" s="21">
        <f t="shared" si="130"/>
        <v>16.64</v>
      </c>
      <c r="BF37" s="21">
        <f t="shared" si="131"/>
        <v>17.2</v>
      </c>
      <c r="BG37" s="21">
        <f t="shared" si="132"/>
        <v>17.2</v>
      </c>
      <c r="BH37" s="21">
        <f t="shared" si="133"/>
        <v>16.64</v>
      </c>
      <c r="BI37" s="21">
        <f t="shared" si="134"/>
        <v>17.2</v>
      </c>
      <c r="BJ37" s="21">
        <f t="shared" si="135"/>
        <v>16.64</v>
      </c>
      <c r="BK37" s="21">
        <f t="shared" si="136"/>
        <v>17.2</v>
      </c>
      <c r="BL37" s="21">
        <f t="shared" si="137"/>
        <v>202.48999999999995</v>
      </c>
      <c r="BM37" s="21">
        <f t="shared" si="138"/>
        <v>231.9</v>
      </c>
      <c r="BN37" s="21">
        <f t="shared" si="139"/>
        <v>17.2</v>
      </c>
      <c r="BO37" s="21">
        <f t="shared" si="140"/>
        <v>15.53</v>
      </c>
      <c r="BP37" s="21">
        <f t="shared" si="141"/>
        <v>17.2</v>
      </c>
      <c r="BQ37" s="21">
        <f t="shared" si="142"/>
        <v>16.64</v>
      </c>
      <c r="BR37" s="21">
        <f t="shared" si="143"/>
        <v>17.2</v>
      </c>
      <c r="BS37" s="21">
        <f t="shared" si="144"/>
        <v>16.64</v>
      </c>
      <c r="BT37" s="21">
        <f t="shared" si="145"/>
        <v>17.2</v>
      </c>
      <c r="BU37" s="21">
        <f t="shared" si="146"/>
        <v>17.2</v>
      </c>
      <c r="BV37" s="21">
        <f t="shared" si="147"/>
        <v>16.64</v>
      </c>
      <c r="BW37" s="21">
        <f t="shared" si="148"/>
        <v>17.2</v>
      </c>
      <c r="BX37" s="21">
        <f t="shared" si="149"/>
        <v>16.64</v>
      </c>
      <c r="BY37" s="21">
        <f t="shared" si="150"/>
        <v>17.2</v>
      </c>
      <c r="BZ37" s="21">
        <f t="shared" si="151"/>
        <v>202.48999999999995</v>
      </c>
      <c r="CA37" s="21">
        <f t="shared" si="152"/>
        <v>434.39</v>
      </c>
      <c r="CB37" s="21">
        <f t="shared" si="153"/>
        <v>17.2</v>
      </c>
      <c r="CC37" s="21">
        <f t="shared" si="154"/>
        <v>16.09</v>
      </c>
      <c r="CD37" s="21">
        <f t="shared" si="155"/>
        <v>17.2</v>
      </c>
      <c r="CE37" s="21">
        <f t="shared" si="156"/>
        <v>16.64</v>
      </c>
      <c r="CF37" s="21">
        <f t="shared" si="157"/>
        <v>17.2</v>
      </c>
      <c r="CG37" s="21">
        <f t="shared" si="158"/>
        <v>16.64</v>
      </c>
      <c r="CH37" s="21">
        <f t="shared" si="159"/>
        <v>17.2</v>
      </c>
      <c r="CI37" s="21">
        <f t="shared" si="160"/>
        <v>17.2</v>
      </c>
      <c r="CJ37" s="21">
        <f t="shared" si="161"/>
        <v>16.64</v>
      </c>
      <c r="CK37" s="21">
        <f t="shared" si="162"/>
        <v>17.2</v>
      </c>
      <c r="CL37" s="21">
        <f t="shared" si="163"/>
        <v>16.64</v>
      </c>
      <c r="CM37" s="21">
        <f t="shared" si="164"/>
        <v>17.2</v>
      </c>
      <c r="CN37" s="21">
        <f t="shared" si="165"/>
        <v>203.04999999999995</v>
      </c>
      <c r="CO37" s="26">
        <f t="shared" si="166"/>
        <v>637.44000000000005</v>
      </c>
      <c r="CP37" s="21">
        <f t="shared" si="167"/>
        <v>17.2</v>
      </c>
      <c r="CQ37" s="21">
        <f t="shared" si="168"/>
        <v>15.53</v>
      </c>
      <c r="CR37" s="21">
        <f t="shared" si="169"/>
        <v>17.2</v>
      </c>
      <c r="CS37" s="21">
        <f t="shared" si="170"/>
        <v>16.64</v>
      </c>
      <c r="CT37" s="27">
        <f t="shared" si="171"/>
        <v>17.2</v>
      </c>
      <c r="CU37" s="21">
        <f t="shared" si="172"/>
        <v>16.64</v>
      </c>
      <c r="CV37" s="21">
        <f t="shared" si="173"/>
        <v>17.2</v>
      </c>
      <c r="CW37" s="21">
        <f t="shared" si="174"/>
        <v>17.2</v>
      </c>
      <c r="CX37" s="21">
        <f t="shared" si="175"/>
        <v>16.64</v>
      </c>
      <c r="CY37" s="21">
        <f t="shared" si="176"/>
        <v>17.2</v>
      </c>
      <c r="CZ37" s="21">
        <f t="shared" si="177"/>
        <v>16.64</v>
      </c>
      <c r="DA37" s="21">
        <f t="shared" si="178"/>
        <v>17.2</v>
      </c>
      <c r="DB37" s="26">
        <f t="shared" si="179"/>
        <v>202.48999999999995</v>
      </c>
      <c r="DC37" s="26">
        <f t="shared" si="180"/>
        <v>839.93</v>
      </c>
      <c r="DD37" s="21">
        <f t="shared" si="181"/>
        <v>17.2</v>
      </c>
      <c r="DE37" s="21">
        <f t="shared" si="183"/>
        <v>15.53</v>
      </c>
      <c r="DF37" s="21">
        <f t="shared" si="187"/>
        <v>17.2</v>
      </c>
      <c r="DG37" s="21">
        <f t="shared" si="184"/>
        <v>16.64</v>
      </c>
      <c r="DH37" s="21">
        <f t="shared" si="185"/>
        <v>17.2</v>
      </c>
      <c r="DI37" s="21">
        <f t="shared" ref="DI37:DI80" si="189">ROUND((I37/5/365*30),2)</f>
        <v>16.64</v>
      </c>
      <c r="DJ37" s="26"/>
      <c r="DK37" s="26"/>
      <c r="DL37" s="26"/>
      <c r="DM37" s="26"/>
      <c r="DN37" s="26"/>
      <c r="DO37" s="26"/>
      <c r="DP37" s="26">
        <f t="shared" si="186"/>
        <v>100.41</v>
      </c>
      <c r="DQ37" s="21">
        <f t="shared" si="188"/>
        <v>940.34</v>
      </c>
      <c r="DR37" s="21">
        <f t="shared" si="182"/>
        <v>184.65999999999997</v>
      </c>
      <c r="DS37" s="1" t="s">
        <v>937</v>
      </c>
    </row>
    <row r="38" spans="2:123" ht="33">
      <c r="B38" s="35">
        <v>41600</v>
      </c>
      <c r="C38" s="36" t="s">
        <v>128</v>
      </c>
      <c r="D38" s="47" t="s">
        <v>129</v>
      </c>
      <c r="E38" s="46" t="s">
        <v>105</v>
      </c>
      <c r="F38" s="46" t="s">
        <v>130</v>
      </c>
      <c r="G38" s="22">
        <v>629</v>
      </c>
      <c r="H38" s="21">
        <f t="shared" si="113"/>
        <v>62.900000000000006</v>
      </c>
      <c r="I38" s="21">
        <f t="shared" si="114"/>
        <v>566.1</v>
      </c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>
        <f t="shared" si="116"/>
        <v>0</v>
      </c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>
        <f>ROUND((I38/5/365*8),2)</f>
        <v>2.48</v>
      </c>
      <c r="AW38" s="21">
        <f t="shared" si="122"/>
        <v>9.6199999999999992</v>
      </c>
      <c r="AX38" s="21">
        <f t="shared" si="123"/>
        <v>12.1</v>
      </c>
      <c r="AY38" s="21">
        <f t="shared" si="124"/>
        <v>12.1</v>
      </c>
      <c r="AZ38" s="21">
        <f t="shared" si="125"/>
        <v>9.6199999999999992</v>
      </c>
      <c r="BA38" s="21">
        <f t="shared" si="126"/>
        <v>8.69</v>
      </c>
      <c r="BB38" s="21">
        <f t="shared" si="127"/>
        <v>9.6199999999999992</v>
      </c>
      <c r="BC38" s="21">
        <f t="shared" si="128"/>
        <v>9.31</v>
      </c>
      <c r="BD38" s="21">
        <f t="shared" si="129"/>
        <v>9.6199999999999992</v>
      </c>
      <c r="BE38" s="21">
        <f t="shared" si="130"/>
        <v>9.31</v>
      </c>
      <c r="BF38" s="21">
        <f t="shared" si="131"/>
        <v>9.6199999999999992</v>
      </c>
      <c r="BG38" s="21">
        <f t="shared" si="132"/>
        <v>9.6199999999999992</v>
      </c>
      <c r="BH38" s="21">
        <f t="shared" si="133"/>
        <v>9.31</v>
      </c>
      <c r="BI38" s="21">
        <f t="shared" si="134"/>
        <v>9.6199999999999992</v>
      </c>
      <c r="BJ38" s="21">
        <f t="shared" si="135"/>
        <v>9.31</v>
      </c>
      <c r="BK38" s="21">
        <f t="shared" si="136"/>
        <v>9.6199999999999992</v>
      </c>
      <c r="BL38" s="21">
        <f t="shared" si="137"/>
        <v>113.27000000000002</v>
      </c>
      <c r="BM38" s="21">
        <f t="shared" si="138"/>
        <v>125.37</v>
      </c>
      <c r="BN38" s="21">
        <f t="shared" si="139"/>
        <v>9.6199999999999992</v>
      </c>
      <c r="BO38" s="21">
        <f t="shared" si="140"/>
        <v>8.69</v>
      </c>
      <c r="BP38" s="21">
        <f t="shared" si="141"/>
        <v>9.6199999999999992</v>
      </c>
      <c r="BQ38" s="21">
        <f t="shared" si="142"/>
        <v>9.31</v>
      </c>
      <c r="BR38" s="21">
        <f t="shared" si="143"/>
        <v>9.6199999999999992</v>
      </c>
      <c r="BS38" s="21">
        <f t="shared" si="144"/>
        <v>9.31</v>
      </c>
      <c r="BT38" s="21">
        <f t="shared" si="145"/>
        <v>9.6199999999999992</v>
      </c>
      <c r="BU38" s="21">
        <f t="shared" si="146"/>
        <v>9.6199999999999992</v>
      </c>
      <c r="BV38" s="21">
        <f t="shared" si="147"/>
        <v>9.31</v>
      </c>
      <c r="BW38" s="21">
        <f t="shared" si="148"/>
        <v>9.6199999999999992</v>
      </c>
      <c r="BX38" s="21">
        <f t="shared" si="149"/>
        <v>9.31</v>
      </c>
      <c r="BY38" s="21">
        <f t="shared" si="150"/>
        <v>9.6199999999999992</v>
      </c>
      <c r="BZ38" s="21">
        <f t="shared" si="151"/>
        <v>113.27000000000002</v>
      </c>
      <c r="CA38" s="21">
        <f t="shared" si="152"/>
        <v>238.64</v>
      </c>
      <c r="CB38" s="21">
        <f t="shared" si="153"/>
        <v>9.6199999999999992</v>
      </c>
      <c r="CC38" s="21">
        <f t="shared" si="154"/>
        <v>9</v>
      </c>
      <c r="CD38" s="21">
        <f t="shared" si="155"/>
        <v>9.6199999999999992</v>
      </c>
      <c r="CE38" s="21">
        <f t="shared" si="156"/>
        <v>9.31</v>
      </c>
      <c r="CF38" s="21">
        <f t="shared" si="157"/>
        <v>9.6199999999999992</v>
      </c>
      <c r="CG38" s="21">
        <f t="shared" si="158"/>
        <v>9.31</v>
      </c>
      <c r="CH38" s="21">
        <f t="shared" si="159"/>
        <v>9.6199999999999992</v>
      </c>
      <c r="CI38" s="21">
        <f t="shared" si="160"/>
        <v>9.6199999999999992</v>
      </c>
      <c r="CJ38" s="21">
        <f t="shared" si="161"/>
        <v>9.31</v>
      </c>
      <c r="CK38" s="21">
        <f t="shared" si="162"/>
        <v>9.6199999999999992</v>
      </c>
      <c r="CL38" s="21">
        <f t="shared" si="163"/>
        <v>9.31</v>
      </c>
      <c r="CM38" s="21">
        <f t="shared" si="164"/>
        <v>9.6199999999999992</v>
      </c>
      <c r="CN38" s="21">
        <f t="shared" si="165"/>
        <v>113.58000000000001</v>
      </c>
      <c r="CO38" s="26">
        <f t="shared" si="166"/>
        <v>352.22</v>
      </c>
      <c r="CP38" s="21">
        <f t="shared" si="167"/>
        <v>9.6199999999999992</v>
      </c>
      <c r="CQ38" s="21">
        <f t="shared" si="168"/>
        <v>8.69</v>
      </c>
      <c r="CR38" s="21">
        <f t="shared" si="169"/>
        <v>9.6199999999999992</v>
      </c>
      <c r="CS38" s="21">
        <f t="shared" si="170"/>
        <v>9.31</v>
      </c>
      <c r="CT38" s="27">
        <f t="shared" si="171"/>
        <v>9.6199999999999992</v>
      </c>
      <c r="CU38" s="21">
        <f t="shared" si="172"/>
        <v>9.31</v>
      </c>
      <c r="CV38" s="21">
        <f t="shared" si="173"/>
        <v>9.6199999999999992</v>
      </c>
      <c r="CW38" s="21">
        <f t="shared" si="174"/>
        <v>9.6199999999999992</v>
      </c>
      <c r="CX38" s="21">
        <f t="shared" si="175"/>
        <v>9.31</v>
      </c>
      <c r="CY38" s="21">
        <f t="shared" si="176"/>
        <v>9.6199999999999992</v>
      </c>
      <c r="CZ38" s="21">
        <f t="shared" si="177"/>
        <v>9.31</v>
      </c>
      <c r="DA38" s="21">
        <f t="shared" si="178"/>
        <v>9.6199999999999992</v>
      </c>
      <c r="DB38" s="26">
        <f t="shared" si="179"/>
        <v>113.27000000000002</v>
      </c>
      <c r="DC38" s="26">
        <f t="shared" si="180"/>
        <v>465.49</v>
      </c>
      <c r="DD38" s="21">
        <f t="shared" si="181"/>
        <v>9.6199999999999992</v>
      </c>
      <c r="DE38" s="21">
        <f t="shared" si="183"/>
        <v>8.69</v>
      </c>
      <c r="DF38" s="21">
        <f t="shared" si="187"/>
        <v>9.6199999999999992</v>
      </c>
      <c r="DG38" s="21">
        <f t="shared" si="184"/>
        <v>9.31</v>
      </c>
      <c r="DH38" s="21">
        <f t="shared" si="185"/>
        <v>9.6199999999999992</v>
      </c>
      <c r="DI38" s="21">
        <f t="shared" si="189"/>
        <v>9.31</v>
      </c>
      <c r="DJ38" s="26"/>
      <c r="DK38" s="26"/>
      <c r="DL38" s="26"/>
      <c r="DM38" s="26"/>
      <c r="DN38" s="26"/>
      <c r="DO38" s="26"/>
      <c r="DP38" s="26">
        <f t="shared" si="186"/>
        <v>56.17</v>
      </c>
      <c r="DQ38" s="21">
        <f t="shared" si="188"/>
        <v>521.66</v>
      </c>
      <c r="DR38" s="21">
        <f t="shared" si="182"/>
        <v>107.34000000000003</v>
      </c>
    </row>
    <row r="39" spans="2:123" ht="74.25">
      <c r="B39" s="35">
        <v>41626</v>
      </c>
      <c r="C39" s="47" t="s">
        <v>131</v>
      </c>
      <c r="D39" s="47" t="s">
        <v>132</v>
      </c>
      <c r="E39" s="46" t="s">
        <v>133</v>
      </c>
      <c r="F39" s="46" t="s">
        <v>134</v>
      </c>
      <c r="G39" s="22">
        <v>3893.13</v>
      </c>
      <c r="H39" s="21">
        <f t="shared" si="113"/>
        <v>389.31300000000005</v>
      </c>
      <c r="I39" s="21">
        <f t="shared" si="114"/>
        <v>3503.817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>
        <v>0</v>
      </c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>
        <v>0</v>
      </c>
      <c r="AW39" s="21">
        <f>ROUND((I39/5/365*13),2)</f>
        <v>24.96</v>
      </c>
      <c r="AX39" s="21">
        <f t="shared" si="123"/>
        <v>24.96</v>
      </c>
      <c r="AY39" s="21">
        <f t="shared" si="124"/>
        <v>24.96</v>
      </c>
      <c r="AZ39" s="21">
        <f t="shared" si="125"/>
        <v>59.52</v>
      </c>
      <c r="BA39" s="21">
        <f t="shared" si="126"/>
        <v>53.76</v>
      </c>
      <c r="BB39" s="21">
        <f t="shared" si="127"/>
        <v>59.52</v>
      </c>
      <c r="BC39" s="21">
        <f t="shared" si="128"/>
        <v>57.6</v>
      </c>
      <c r="BD39" s="21">
        <f t="shared" si="129"/>
        <v>59.52</v>
      </c>
      <c r="BE39" s="21">
        <f t="shared" si="130"/>
        <v>57.6</v>
      </c>
      <c r="BF39" s="21">
        <f t="shared" si="131"/>
        <v>59.52</v>
      </c>
      <c r="BG39" s="21">
        <f t="shared" si="132"/>
        <v>59.52</v>
      </c>
      <c r="BH39" s="21">
        <f t="shared" si="133"/>
        <v>57.6</v>
      </c>
      <c r="BI39" s="21">
        <f t="shared" si="134"/>
        <v>59.52</v>
      </c>
      <c r="BJ39" s="21">
        <f t="shared" si="135"/>
        <v>57.6</v>
      </c>
      <c r="BK39" s="21">
        <f t="shared" si="136"/>
        <v>59.52</v>
      </c>
      <c r="BL39" s="21">
        <f t="shared" si="137"/>
        <v>700.8</v>
      </c>
      <c r="BM39" s="21">
        <f t="shared" si="138"/>
        <v>725.76</v>
      </c>
      <c r="BN39" s="21">
        <f t="shared" si="139"/>
        <v>59.52</v>
      </c>
      <c r="BO39" s="21">
        <f t="shared" si="140"/>
        <v>53.76</v>
      </c>
      <c r="BP39" s="21">
        <f t="shared" si="141"/>
        <v>59.52</v>
      </c>
      <c r="BQ39" s="21">
        <f t="shared" si="142"/>
        <v>57.6</v>
      </c>
      <c r="BR39" s="21">
        <f t="shared" si="143"/>
        <v>59.52</v>
      </c>
      <c r="BS39" s="21">
        <f t="shared" si="144"/>
        <v>57.6</v>
      </c>
      <c r="BT39" s="21">
        <f t="shared" si="145"/>
        <v>59.52</v>
      </c>
      <c r="BU39" s="21">
        <f t="shared" si="146"/>
        <v>59.52</v>
      </c>
      <c r="BV39" s="21">
        <f t="shared" si="147"/>
        <v>57.6</v>
      </c>
      <c r="BW39" s="21">
        <f t="shared" si="148"/>
        <v>59.52</v>
      </c>
      <c r="BX39" s="21">
        <f t="shared" si="149"/>
        <v>57.6</v>
      </c>
      <c r="BY39" s="21">
        <f t="shared" si="150"/>
        <v>59.52</v>
      </c>
      <c r="BZ39" s="21">
        <f t="shared" si="151"/>
        <v>700.8</v>
      </c>
      <c r="CA39" s="21">
        <f t="shared" si="152"/>
        <v>1426.56</v>
      </c>
      <c r="CB39" s="21">
        <f t="shared" si="153"/>
        <v>59.52</v>
      </c>
      <c r="CC39" s="21">
        <f t="shared" si="154"/>
        <v>55.68</v>
      </c>
      <c r="CD39" s="21">
        <f t="shared" si="155"/>
        <v>59.52</v>
      </c>
      <c r="CE39" s="21">
        <f t="shared" si="156"/>
        <v>57.6</v>
      </c>
      <c r="CF39" s="21">
        <f t="shared" si="157"/>
        <v>59.52</v>
      </c>
      <c r="CG39" s="21">
        <f t="shared" si="158"/>
        <v>57.6</v>
      </c>
      <c r="CH39" s="21">
        <f t="shared" si="159"/>
        <v>59.52</v>
      </c>
      <c r="CI39" s="21">
        <f t="shared" si="160"/>
        <v>59.52</v>
      </c>
      <c r="CJ39" s="21">
        <f t="shared" si="161"/>
        <v>57.6</v>
      </c>
      <c r="CK39" s="21">
        <f t="shared" si="162"/>
        <v>59.52</v>
      </c>
      <c r="CL39" s="21">
        <f t="shared" si="163"/>
        <v>57.6</v>
      </c>
      <c r="CM39" s="21">
        <f t="shared" si="164"/>
        <v>59.52</v>
      </c>
      <c r="CN39" s="21">
        <f t="shared" si="165"/>
        <v>702.71999999999991</v>
      </c>
      <c r="CO39" s="26">
        <f t="shared" si="166"/>
        <v>2129.2800000000002</v>
      </c>
      <c r="CP39" s="21">
        <f t="shared" si="167"/>
        <v>59.52</v>
      </c>
      <c r="CQ39" s="21">
        <f t="shared" si="168"/>
        <v>53.76</v>
      </c>
      <c r="CR39" s="21">
        <f t="shared" si="169"/>
        <v>59.52</v>
      </c>
      <c r="CS39" s="21">
        <f t="shared" si="170"/>
        <v>57.6</v>
      </c>
      <c r="CT39" s="27">
        <f t="shared" si="171"/>
        <v>59.52</v>
      </c>
      <c r="CU39" s="21">
        <f t="shared" si="172"/>
        <v>57.6</v>
      </c>
      <c r="CV39" s="21">
        <f t="shared" si="173"/>
        <v>59.52</v>
      </c>
      <c r="CW39" s="21">
        <f t="shared" si="174"/>
        <v>59.52</v>
      </c>
      <c r="CX39" s="21">
        <f t="shared" si="175"/>
        <v>57.6</v>
      </c>
      <c r="CY39" s="21">
        <f t="shared" si="176"/>
        <v>59.52</v>
      </c>
      <c r="CZ39" s="21">
        <f t="shared" si="177"/>
        <v>57.6</v>
      </c>
      <c r="DA39" s="21">
        <f t="shared" si="178"/>
        <v>59.52</v>
      </c>
      <c r="DB39" s="26">
        <f t="shared" si="179"/>
        <v>700.8</v>
      </c>
      <c r="DC39" s="26">
        <f t="shared" si="180"/>
        <v>2830.08</v>
      </c>
      <c r="DD39" s="21">
        <f t="shared" si="181"/>
        <v>59.52</v>
      </c>
      <c r="DE39" s="21">
        <f t="shared" si="183"/>
        <v>53.76</v>
      </c>
      <c r="DF39" s="21">
        <f t="shared" si="187"/>
        <v>59.52</v>
      </c>
      <c r="DG39" s="21">
        <f t="shared" si="184"/>
        <v>57.6</v>
      </c>
      <c r="DH39" s="21">
        <f t="shared" si="185"/>
        <v>59.52</v>
      </c>
      <c r="DI39" s="21">
        <f t="shared" si="189"/>
        <v>57.6</v>
      </c>
      <c r="DJ39" s="26"/>
      <c r="DK39" s="26"/>
      <c r="DL39" s="26"/>
      <c r="DM39" s="26"/>
      <c r="DN39" s="26"/>
      <c r="DO39" s="26"/>
      <c r="DP39" s="26">
        <f t="shared" si="186"/>
        <v>347.52000000000004</v>
      </c>
      <c r="DQ39" s="21">
        <f t="shared" si="188"/>
        <v>3177.6</v>
      </c>
      <c r="DR39" s="21">
        <f t="shared" si="182"/>
        <v>715.5300000000002</v>
      </c>
    </row>
    <row r="40" spans="2:123" ht="41.25">
      <c r="B40" s="35">
        <v>41789</v>
      </c>
      <c r="C40" s="47" t="s">
        <v>114</v>
      </c>
      <c r="D40" s="47" t="s">
        <v>135</v>
      </c>
      <c r="E40" s="46" t="s">
        <v>136</v>
      </c>
      <c r="F40" s="47" t="s">
        <v>137</v>
      </c>
      <c r="G40" s="22">
        <v>796.15</v>
      </c>
      <c r="H40" s="21">
        <f t="shared" si="113"/>
        <v>79.615000000000009</v>
      </c>
      <c r="I40" s="21">
        <f t="shared" si="114"/>
        <v>716.53499999999997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21">
        <f t="shared" si="124"/>
        <v>0</v>
      </c>
      <c r="AZ40" s="48"/>
      <c r="BA40" s="48"/>
      <c r="BB40" s="21"/>
      <c r="BC40" s="21"/>
      <c r="BD40" s="21">
        <f>ROUND((I40/5/365*1),2)</f>
        <v>0.39</v>
      </c>
      <c r="BE40" s="21">
        <f t="shared" si="130"/>
        <v>11.78</v>
      </c>
      <c r="BF40" s="21">
        <f t="shared" si="131"/>
        <v>12.17</v>
      </c>
      <c r="BG40" s="21">
        <f t="shared" si="132"/>
        <v>12.17</v>
      </c>
      <c r="BH40" s="21">
        <f t="shared" si="133"/>
        <v>11.78</v>
      </c>
      <c r="BI40" s="21">
        <f t="shared" si="134"/>
        <v>12.17</v>
      </c>
      <c r="BJ40" s="21">
        <f t="shared" si="135"/>
        <v>11.78</v>
      </c>
      <c r="BK40" s="21">
        <f t="shared" si="136"/>
        <v>12.17</v>
      </c>
      <c r="BL40" s="21">
        <f t="shared" si="137"/>
        <v>84.41</v>
      </c>
      <c r="BM40" s="21">
        <f t="shared" si="138"/>
        <v>84.41</v>
      </c>
      <c r="BN40" s="21">
        <f t="shared" si="139"/>
        <v>12.17</v>
      </c>
      <c r="BO40" s="21">
        <f t="shared" si="140"/>
        <v>10.99</v>
      </c>
      <c r="BP40" s="21">
        <f t="shared" si="141"/>
        <v>12.17</v>
      </c>
      <c r="BQ40" s="21">
        <f t="shared" si="142"/>
        <v>11.78</v>
      </c>
      <c r="BR40" s="21">
        <f t="shared" si="143"/>
        <v>12.17</v>
      </c>
      <c r="BS40" s="21">
        <f t="shared" si="144"/>
        <v>11.78</v>
      </c>
      <c r="BT40" s="21">
        <f t="shared" si="145"/>
        <v>12.17</v>
      </c>
      <c r="BU40" s="21">
        <f t="shared" si="146"/>
        <v>12.17</v>
      </c>
      <c r="BV40" s="21">
        <f t="shared" si="147"/>
        <v>11.78</v>
      </c>
      <c r="BW40" s="21">
        <f t="shared" si="148"/>
        <v>12.17</v>
      </c>
      <c r="BX40" s="21">
        <f t="shared" si="149"/>
        <v>11.78</v>
      </c>
      <c r="BY40" s="21">
        <f t="shared" si="150"/>
        <v>12.17</v>
      </c>
      <c r="BZ40" s="21">
        <f t="shared" si="151"/>
        <v>143.29999999999998</v>
      </c>
      <c r="CA40" s="21">
        <f t="shared" si="152"/>
        <v>227.71</v>
      </c>
      <c r="CB40" s="21">
        <f t="shared" si="153"/>
        <v>12.17</v>
      </c>
      <c r="CC40" s="21">
        <f t="shared" si="154"/>
        <v>11.39</v>
      </c>
      <c r="CD40" s="21">
        <f t="shared" si="155"/>
        <v>12.17</v>
      </c>
      <c r="CE40" s="21">
        <f t="shared" si="156"/>
        <v>11.78</v>
      </c>
      <c r="CF40" s="21">
        <f t="shared" si="157"/>
        <v>12.17</v>
      </c>
      <c r="CG40" s="21">
        <f t="shared" si="158"/>
        <v>11.78</v>
      </c>
      <c r="CH40" s="21">
        <f t="shared" si="159"/>
        <v>12.17</v>
      </c>
      <c r="CI40" s="21">
        <f t="shared" si="160"/>
        <v>12.17</v>
      </c>
      <c r="CJ40" s="21">
        <f t="shared" si="161"/>
        <v>11.78</v>
      </c>
      <c r="CK40" s="21">
        <f t="shared" si="162"/>
        <v>12.17</v>
      </c>
      <c r="CL40" s="21">
        <f t="shared" si="163"/>
        <v>11.78</v>
      </c>
      <c r="CM40" s="21">
        <f t="shared" si="164"/>
        <v>12.17</v>
      </c>
      <c r="CN40" s="21">
        <f t="shared" si="165"/>
        <v>143.69999999999999</v>
      </c>
      <c r="CO40" s="26">
        <f t="shared" si="166"/>
        <v>371.41</v>
      </c>
      <c r="CP40" s="21">
        <f t="shared" si="167"/>
        <v>12.17</v>
      </c>
      <c r="CQ40" s="21">
        <f t="shared" si="168"/>
        <v>10.99</v>
      </c>
      <c r="CR40" s="21">
        <f t="shared" si="169"/>
        <v>12.17</v>
      </c>
      <c r="CS40" s="21">
        <f t="shared" si="170"/>
        <v>11.78</v>
      </c>
      <c r="CT40" s="27">
        <f t="shared" si="171"/>
        <v>12.17</v>
      </c>
      <c r="CU40" s="21">
        <f t="shared" si="172"/>
        <v>11.78</v>
      </c>
      <c r="CV40" s="21">
        <f t="shared" si="173"/>
        <v>12.17</v>
      </c>
      <c r="CW40" s="21">
        <f t="shared" si="174"/>
        <v>12.17</v>
      </c>
      <c r="CX40" s="21">
        <f t="shared" si="175"/>
        <v>11.78</v>
      </c>
      <c r="CY40" s="21">
        <f t="shared" si="176"/>
        <v>12.17</v>
      </c>
      <c r="CZ40" s="21">
        <f t="shared" si="177"/>
        <v>11.78</v>
      </c>
      <c r="DA40" s="21">
        <f t="shared" si="178"/>
        <v>12.17</v>
      </c>
      <c r="DB40" s="26">
        <f t="shared" si="179"/>
        <v>143.29999999999998</v>
      </c>
      <c r="DC40" s="26">
        <f t="shared" si="180"/>
        <v>514.71</v>
      </c>
      <c r="DD40" s="21">
        <f t="shared" si="181"/>
        <v>12.17</v>
      </c>
      <c r="DE40" s="21">
        <f t="shared" si="183"/>
        <v>10.99</v>
      </c>
      <c r="DF40" s="21">
        <f t="shared" si="187"/>
        <v>12.17</v>
      </c>
      <c r="DG40" s="21">
        <f t="shared" si="184"/>
        <v>11.78</v>
      </c>
      <c r="DH40" s="21">
        <f t="shared" si="185"/>
        <v>12.17</v>
      </c>
      <c r="DI40" s="21">
        <f t="shared" si="189"/>
        <v>11.78</v>
      </c>
      <c r="DJ40" s="26"/>
      <c r="DK40" s="26"/>
      <c r="DL40" s="26"/>
      <c r="DM40" s="26"/>
      <c r="DN40" s="26"/>
      <c r="DO40" s="26"/>
      <c r="DP40" s="26">
        <f t="shared" si="186"/>
        <v>71.06</v>
      </c>
      <c r="DQ40" s="21">
        <f t="shared" si="188"/>
        <v>585.77</v>
      </c>
      <c r="DR40" s="21">
        <f t="shared" si="182"/>
        <v>210.38</v>
      </c>
    </row>
    <row r="41" spans="2:123" ht="41.25">
      <c r="B41" s="35">
        <v>41789</v>
      </c>
      <c r="C41" s="47" t="s">
        <v>114</v>
      </c>
      <c r="D41" s="47" t="s">
        <v>138</v>
      </c>
      <c r="E41" s="46" t="s">
        <v>139</v>
      </c>
      <c r="F41" s="47" t="s">
        <v>140</v>
      </c>
      <c r="G41" s="22">
        <v>819</v>
      </c>
      <c r="H41" s="21">
        <f t="shared" si="113"/>
        <v>81.900000000000006</v>
      </c>
      <c r="I41" s="21">
        <f t="shared" si="114"/>
        <v>737.1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21">
        <f t="shared" si="124"/>
        <v>0</v>
      </c>
      <c r="AZ41" s="48"/>
      <c r="BA41" s="48"/>
      <c r="BB41" s="21"/>
      <c r="BC41" s="21"/>
      <c r="BD41" s="21">
        <f>ROUND((I41/5/365*1),2)</f>
        <v>0.4</v>
      </c>
      <c r="BE41" s="21">
        <f t="shared" si="130"/>
        <v>12.12</v>
      </c>
      <c r="BF41" s="21">
        <f t="shared" si="131"/>
        <v>12.52</v>
      </c>
      <c r="BG41" s="21">
        <f t="shared" si="132"/>
        <v>12.52</v>
      </c>
      <c r="BH41" s="21">
        <f t="shared" si="133"/>
        <v>12.12</v>
      </c>
      <c r="BI41" s="21">
        <f t="shared" si="134"/>
        <v>12.52</v>
      </c>
      <c r="BJ41" s="21">
        <f t="shared" si="135"/>
        <v>12.12</v>
      </c>
      <c r="BK41" s="21">
        <f t="shared" si="136"/>
        <v>12.52</v>
      </c>
      <c r="BL41" s="21">
        <f t="shared" si="137"/>
        <v>86.84</v>
      </c>
      <c r="BM41" s="21">
        <f t="shared" si="138"/>
        <v>86.84</v>
      </c>
      <c r="BN41" s="21">
        <f t="shared" si="139"/>
        <v>12.52</v>
      </c>
      <c r="BO41" s="21">
        <f t="shared" si="140"/>
        <v>11.31</v>
      </c>
      <c r="BP41" s="21">
        <f t="shared" si="141"/>
        <v>12.52</v>
      </c>
      <c r="BQ41" s="21">
        <f t="shared" si="142"/>
        <v>12.12</v>
      </c>
      <c r="BR41" s="21">
        <f t="shared" si="143"/>
        <v>12.52</v>
      </c>
      <c r="BS41" s="21">
        <f t="shared" si="144"/>
        <v>12.12</v>
      </c>
      <c r="BT41" s="21">
        <f t="shared" si="145"/>
        <v>12.52</v>
      </c>
      <c r="BU41" s="21">
        <f t="shared" si="146"/>
        <v>12.52</v>
      </c>
      <c r="BV41" s="21">
        <f t="shared" si="147"/>
        <v>12.12</v>
      </c>
      <c r="BW41" s="21">
        <f t="shared" si="148"/>
        <v>12.52</v>
      </c>
      <c r="BX41" s="21">
        <f t="shared" si="149"/>
        <v>12.12</v>
      </c>
      <c r="BY41" s="21">
        <f t="shared" si="150"/>
        <v>12.52</v>
      </c>
      <c r="BZ41" s="21">
        <f t="shared" si="151"/>
        <v>147.43</v>
      </c>
      <c r="CA41" s="21">
        <f t="shared" si="152"/>
        <v>234.27</v>
      </c>
      <c r="CB41" s="21">
        <f t="shared" si="153"/>
        <v>12.52</v>
      </c>
      <c r="CC41" s="21">
        <f t="shared" si="154"/>
        <v>11.71</v>
      </c>
      <c r="CD41" s="21">
        <f t="shared" si="155"/>
        <v>12.52</v>
      </c>
      <c r="CE41" s="21">
        <f t="shared" si="156"/>
        <v>12.12</v>
      </c>
      <c r="CF41" s="21">
        <f t="shared" si="157"/>
        <v>12.52</v>
      </c>
      <c r="CG41" s="21">
        <f t="shared" si="158"/>
        <v>12.12</v>
      </c>
      <c r="CH41" s="21">
        <f t="shared" si="159"/>
        <v>12.52</v>
      </c>
      <c r="CI41" s="21">
        <f t="shared" si="160"/>
        <v>12.52</v>
      </c>
      <c r="CJ41" s="21">
        <f t="shared" si="161"/>
        <v>12.12</v>
      </c>
      <c r="CK41" s="21">
        <f t="shared" si="162"/>
        <v>12.52</v>
      </c>
      <c r="CL41" s="21">
        <f t="shared" si="163"/>
        <v>12.12</v>
      </c>
      <c r="CM41" s="21">
        <f t="shared" si="164"/>
        <v>12.52</v>
      </c>
      <c r="CN41" s="21">
        <f t="shared" si="165"/>
        <v>147.83000000000001</v>
      </c>
      <c r="CO41" s="26">
        <f t="shared" si="166"/>
        <v>382.1</v>
      </c>
      <c r="CP41" s="21">
        <f t="shared" si="167"/>
        <v>12.52</v>
      </c>
      <c r="CQ41" s="21">
        <f t="shared" si="168"/>
        <v>11.31</v>
      </c>
      <c r="CR41" s="21">
        <f t="shared" si="169"/>
        <v>12.52</v>
      </c>
      <c r="CS41" s="21">
        <f t="shared" si="170"/>
        <v>12.12</v>
      </c>
      <c r="CT41" s="27">
        <f t="shared" si="171"/>
        <v>12.52</v>
      </c>
      <c r="CU41" s="21">
        <f t="shared" si="172"/>
        <v>12.12</v>
      </c>
      <c r="CV41" s="21">
        <f t="shared" si="173"/>
        <v>12.52</v>
      </c>
      <c r="CW41" s="21">
        <f t="shared" si="174"/>
        <v>12.52</v>
      </c>
      <c r="CX41" s="21">
        <f t="shared" si="175"/>
        <v>12.12</v>
      </c>
      <c r="CY41" s="21">
        <f t="shared" si="176"/>
        <v>12.52</v>
      </c>
      <c r="CZ41" s="21">
        <f t="shared" si="177"/>
        <v>12.12</v>
      </c>
      <c r="DA41" s="21">
        <f t="shared" si="178"/>
        <v>12.52</v>
      </c>
      <c r="DB41" s="26">
        <f t="shared" si="179"/>
        <v>147.43</v>
      </c>
      <c r="DC41" s="26">
        <f t="shared" si="180"/>
        <v>529.53</v>
      </c>
      <c r="DD41" s="21">
        <f t="shared" si="181"/>
        <v>12.52</v>
      </c>
      <c r="DE41" s="21">
        <f t="shared" si="183"/>
        <v>11.31</v>
      </c>
      <c r="DF41" s="21">
        <f t="shared" si="187"/>
        <v>12.52</v>
      </c>
      <c r="DG41" s="21">
        <f t="shared" si="184"/>
        <v>12.12</v>
      </c>
      <c r="DH41" s="21">
        <f t="shared" si="185"/>
        <v>12.52</v>
      </c>
      <c r="DI41" s="21">
        <f t="shared" si="189"/>
        <v>12.12</v>
      </c>
      <c r="DJ41" s="26"/>
      <c r="DK41" s="26"/>
      <c r="DL41" s="26"/>
      <c r="DM41" s="26"/>
      <c r="DN41" s="26"/>
      <c r="DO41" s="26"/>
      <c r="DP41" s="26">
        <f t="shared" si="186"/>
        <v>73.11</v>
      </c>
      <c r="DQ41" s="21">
        <f t="shared" si="188"/>
        <v>602.64</v>
      </c>
      <c r="DR41" s="21">
        <f t="shared" si="182"/>
        <v>216.36</v>
      </c>
    </row>
    <row r="42" spans="2:123" ht="41.25">
      <c r="B42" s="35">
        <v>41789</v>
      </c>
      <c r="C42" s="47" t="s">
        <v>114</v>
      </c>
      <c r="D42" s="47" t="s">
        <v>141</v>
      </c>
      <c r="E42" s="46" t="s">
        <v>142</v>
      </c>
      <c r="F42" s="47" t="s">
        <v>143</v>
      </c>
      <c r="G42" s="22">
        <v>819</v>
      </c>
      <c r="H42" s="21">
        <f t="shared" si="113"/>
        <v>81.900000000000006</v>
      </c>
      <c r="I42" s="21">
        <f t="shared" si="114"/>
        <v>737.1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21">
        <f t="shared" si="124"/>
        <v>0</v>
      </c>
      <c r="AZ42" s="48"/>
      <c r="BA42" s="48"/>
      <c r="BB42" s="21"/>
      <c r="BC42" s="21"/>
      <c r="BD42" s="21">
        <f>ROUND((I42/5/365*1),2)</f>
        <v>0.4</v>
      </c>
      <c r="BE42" s="21">
        <f t="shared" si="130"/>
        <v>12.12</v>
      </c>
      <c r="BF42" s="21">
        <f t="shared" si="131"/>
        <v>12.52</v>
      </c>
      <c r="BG42" s="21">
        <f t="shared" si="132"/>
        <v>12.52</v>
      </c>
      <c r="BH42" s="21">
        <f t="shared" si="133"/>
        <v>12.12</v>
      </c>
      <c r="BI42" s="21">
        <f t="shared" si="134"/>
        <v>12.52</v>
      </c>
      <c r="BJ42" s="21">
        <f t="shared" si="135"/>
        <v>12.12</v>
      </c>
      <c r="BK42" s="21">
        <f t="shared" si="136"/>
        <v>12.52</v>
      </c>
      <c r="BL42" s="21">
        <f t="shared" si="137"/>
        <v>86.84</v>
      </c>
      <c r="BM42" s="21">
        <f t="shared" si="138"/>
        <v>86.84</v>
      </c>
      <c r="BN42" s="21">
        <f t="shared" si="139"/>
        <v>12.52</v>
      </c>
      <c r="BO42" s="21">
        <f t="shared" si="140"/>
        <v>11.31</v>
      </c>
      <c r="BP42" s="21">
        <f t="shared" si="141"/>
        <v>12.52</v>
      </c>
      <c r="BQ42" s="21">
        <f t="shared" si="142"/>
        <v>12.12</v>
      </c>
      <c r="BR42" s="21">
        <f t="shared" si="143"/>
        <v>12.52</v>
      </c>
      <c r="BS42" s="21">
        <f t="shared" si="144"/>
        <v>12.12</v>
      </c>
      <c r="BT42" s="21">
        <f t="shared" si="145"/>
        <v>12.52</v>
      </c>
      <c r="BU42" s="21">
        <f t="shared" si="146"/>
        <v>12.52</v>
      </c>
      <c r="BV42" s="21">
        <f t="shared" si="147"/>
        <v>12.12</v>
      </c>
      <c r="BW42" s="21">
        <f t="shared" si="148"/>
        <v>12.52</v>
      </c>
      <c r="BX42" s="21">
        <f t="shared" si="149"/>
        <v>12.12</v>
      </c>
      <c r="BY42" s="21">
        <f t="shared" si="150"/>
        <v>12.52</v>
      </c>
      <c r="BZ42" s="21">
        <f t="shared" si="151"/>
        <v>147.43</v>
      </c>
      <c r="CA42" s="21">
        <f t="shared" si="152"/>
        <v>234.27</v>
      </c>
      <c r="CB42" s="21">
        <f t="shared" si="153"/>
        <v>12.52</v>
      </c>
      <c r="CC42" s="21">
        <f t="shared" si="154"/>
        <v>11.71</v>
      </c>
      <c r="CD42" s="21">
        <f t="shared" si="155"/>
        <v>12.52</v>
      </c>
      <c r="CE42" s="21">
        <f t="shared" si="156"/>
        <v>12.12</v>
      </c>
      <c r="CF42" s="21">
        <f t="shared" si="157"/>
        <v>12.52</v>
      </c>
      <c r="CG42" s="21">
        <f t="shared" si="158"/>
        <v>12.12</v>
      </c>
      <c r="CH42" s="21">
        <f t="shared" si="159"/>
        <v>12.52</v>
      </c>
      <c r="CI42" s="21">
        <f t="shared" si="160"/>
        <v>12.52</v>
      </c>
      <c r="CJ42" s="21">
        <f t="shared" si="161"/>
        <v>12.12</v>
      </c>
      <c r="CK42" s="21">
        <f t="shared" si="162"/>
        <v>12.52</v>
      </c>
      <c r="CL42" s="21">
        <f t="shared" si="163"/>
        <v>12.12</v>
      </c>
      <c r="CM42" s="21">
        <f t="shared" si="164"/>
        <v>12.52</v>
      </c>
      <c r="CN42" s="21">
        <f t="shared" si="165"/>
        <v>147.83000000000001</v>
      </c>
      <c r="CO42" s="26">
        <f t="shared" si="166"/>
        <v>382.1</v>
      </c>
      <c r="CP42" s="21">
        <f t="shared" si="167"/>
        <v>12.52</v>
      </c>
      <c r="CQ42" s="21">
        <f t="shared" si="168"/>
        <v>11.31</v>
      </c>
      <c r="CR42" s="21">
        <f t="shared" si="169"/>
        <v>12.52</v>
      </c>
      <c r="CS42" s="21">
        <f t="shared" si="170"/>
        <v>12.12</v>
      </c>
      <c r="CT42" s="27">
        <f t="shared" si="171"/>
        <v>12.52</v>
      </c>
      <c r="CU42" s="21">
        <f t="shared" si="172"/>
        <v>12.12</v>
      </c>
      <c r="CV42" s="21">
        <f t="shared" si="173"/>
        <v>12.52</v>
      </c>
      <c r="CW42" s="21">
        <f t="shared" si="174"/>
        <v>12.52</v>
      </c>
      <c r="CX42" s="21">
        <f t="shared" si="175"/>
        <v>12.12</v>
      </c>
      <c r="CY42" s="21">
        <f t="shared" si="176"/>
        <v>12.52</v>
      </c>
      <c r="CZ42" s="21">
        <f t="shared" si="177"/>
        <v>12.12</v>
      </c>
      <c r="DA42" s="21">
        <f t="shared" si="178"/>
        <v>12.52</v>
      </c>
      <c r="DB42" s="26">
        <f t="shared" si="179"/>
        <v>147.43</v>
      </c>
      <c r="DC42" s="26">
        <f t="shared" si="180"/>
        <v>529.53</v>
      </c>
      <c r="DD42" s="21">
        <f t="shared" si="181"/>
        <v>12.52</v>
      </c>
      <c r="DE42" s="21">
        <f t="shared" si="183"/>
        <v>11.31</v>
      </c>
      <c r="DF42" s="21">
        <f t="shared" si="187"/>
        <v>12.52</v>
      </c>
      <c r="DG42" s="21">
        <f t="shared" si="184"/>
        <v>12.12</v>
      </c>
      <c r="DH42" s="21">
        <f t="shared" si="185"/>
        <v>12.52</v>
      </c>
      <c r="DI42" s="21">
        <f t="shared" si="189"/>
        <v>12.12</v>
      </c>
      <c r="DJ42" s="26"/>
      <c r="DK42" s="26"/>
      <c r="DL42" s="26"/>
      <c r="DM42" s="26"/>
      <c r="DN42" s="26"/>
      <c r="DO42" s="26"/>
      <c r="DP42" s="26">
        <f t="shared" si="186"/>
        <v>73.11</v>
      </c>
      <c r="DQ42" s="21">
        <f t="shared" si="188"/>
        <v>602.64</v>
      </c>
      <c r="DR42" s="21">
        <f t="shared" si="182"/>
        <v>216.36</v>
      </c>
    </row>
    <row r="43" spans="2:123" ht="41.25">
      <c r="B43" s="35">
        <v>41789</v>
      </c>
      <c r="C43" s="47" t="s">
        <v>114</v>
      </c>
      <c r="D43" s="47" t="s">
        <v>144</v>
      </c>
      <c r="E43" s="46" t="s">
        <v>145</v>
      </c>
      <c r="F43" s="47" t="s">
        <v>146</v>
      </c>
      <c r="G43" s="22">
        <v>796.15</v>
      </c>
      <c r="H43" s="21">
        <f t="shared" si="113"/>
        <v>79.615000000000009</v>
      </c>
      <c r="I43" s="21">
        <f t="shared" si="114"/>
        <v>716.53499999999997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21">
        <f t="shared" si="124"/>
        <v>0</v>
      </c>
      <c r="AZ43" s="48"/>
      <c r="BA43" s="48"/>
      <c r="BB43" s="21"/>
      <c r="BC43" s="21"/>
      <c r="BD43" s="21">
        <f>ROUND((I43/5/365*1),2)</f>
        <v>0.39</v>
      </c>
      <c r="BE43" s="21">
        <f t="shared" si="130"/>
        <v>11.78</v>
      </c>
      <c r="BF43" s="21">
        <f t="shared" si="131"/>
        <v>12.17</v>
      </c>
      <c r="BG43" s="21">
        <f t="shared" si="132"/>
        <v>12.17</v>
      </c>
      <c r="BH43" s="21">
        <f t="shared" si="133"/>
        <v>11.78</v>
      </c>
      <c r="BI43" s="21">
        <f t="shared" si="134"/>
        <v>12.17</v>
      </c>
      <c r="BJ43" s="21">
        <f t="shared" si="135"/>
        <v>11.78</v>
      </c>
      <c r="BK43" s="21">
        <f t="shared" si="136"/>
        <v>12.17</v>
      </c>
      <c r="BL43" s="21">
        <f t="shared" si="137"/>
        <v>84.41</v>
      </c>
      <c r="BM43" s="21">
        <f t="shared" si="138"/>
        <v>84.41</v>
      </c>
      <c r="BN43" s="21">
        <f t="shared" si="139"/>
        <v>12.17</v>
      </c>
      <c r="BO43" s="21">
        <f t="shared" si="140"/>
        <v>10.99</v>
      </c>
      <c r="BP43" s="21">
        <f t="shared" si="141"/>
        <v>12.17</v>
      </c>
      <c r="BQ43" s="21">
        <f t="shared" si="142"/>
        <v>11.78</v>
      </c>
      <c r="BR43" s="21">
        <f t="shared" si="143"/>
        <v>12.17</v>
      </c>
      <c r="BS43" s="21">
        <f t="shared" si="144"/>
        <v>11.78</v>
      </c>
      <c r="BT43" s="21">
        <f t="shared" si="145"/>
        <v>12.17</v>
      </c>
      <c r="BU43" s="21">
        <f t="shared" si="146"/>
        <v>12.17</v>
      </c>
      <c r="BV43" s="21">
        <f t="shared" si="147"/>
        <v>11.78</v>
      </c>
      <c r="BW43" s="21">
        <f t="shared" si="148"/>
        <v>12.17</v>
      </c>
      <c r="BX43" s="21">
        <f t="shared" si="149"/>
        <v>11.78</v>
      </c>
      <c r="BY43" s="21">
        <f t="shared" si="150"/>
        <v>12.17</v>
      </c>
      <c r="BZ43" s="21">
        <f t="shared" si="151"/>
        <v>143.29999999999998</v>
      </c>
      <c r="CA43" s="21">
        <f t="shared" si="152"/>
        <v>227.71</v>
      </c>
      <c r="CB43" s="21">
        <f t="shared" si="153"/>
        <v>12.17</v>
      </c>
      <c r="CC43" s="21">
        <f t="shared" si="154"/>
        <v>11.39</v>
      </c>
      <c r="CD43" s="21">
        <f t="shared" si="155"/>
        <v>12.17</v>
      </c>
      <c r="CE43" s="21">
        <f t="shared" si="156"/>
        <v>11.78</v>
      </c>
      <c r="CF43" s="21">
        <f t="shared" si="157"/>
        <v>12.17</v>
      </c>
      <c r="CG43" s="21">
        <f t="shared" si="158"/>
        <v>11.78</v>
      </c>
      <c r="CH43" s="21">
        <f t="shared" si="159"/>
        <v>12.17</v>
      </c>
      <c r="CI43" s="21">
        <f t="shared" si="160"/>
        <v>12.17</v>
      </c>
      <c r="CJ43" s="21">
        <f t="shared" si="161"/>
        <v>11.78</v>
      </c>
      <c r="CK43" s="21">
        <f t="shared" si="162"/>
        <v>12.17</v>
      </c>
      <c r="CL43" s="21">
        <f t="shared" si="163"/>
        <v>11.78</v>
      </c>
      <c r="CM43" s="21">
        <f t="shared" si="164"/>
        <v>12.17</v>
      </c>
      <c r="CN43" s="21">
        <f t="shared" si="165"/>
        <v>143.69999999999999</v>
      </c>
      <c r="CO43" s="26">
        <f t="shared" si="166"/>
        <v>371.41</v>
      </c>
      <c r="CP43" s="21">
        <f t="shared" si="167"/>
        <v>12.17</v>
      </c>
      <c r="CQ43" s="21">
        <f t="shared" si="168"/>
        <v>10.99</v>
      </c>
      <c r="CR43" s="21">
        <f t="shared" si="169"/>
        <v>12.17</v>
      </c>
      <c r="CS43" s="21">
        <f t="shared" si="170"/>
        <v>11.78</v>
      </c>
      <c r="CT43" s="27">
        <f t="shared" si="171"/>
        <v>12.17</v>
      </c>
      <c r="CU43" s="21">
        <f t="shared" si="172"/>
        <v>11.78</v>
      </c>
      <c r="CV43" s="21">
        <f t="shared" si="173"/>
        <v>12.17</v>
      </c>
      <c r="CW43" s="21">
        <f t="shared" si="174"/>
        <v>12.17</v>
      </c>
      <c r="CX43" s="21">
        <f t="shared" si="175"/>
        <v>11.78</v>
      </c>
      <c r="CY43" s="21">
        <f t="shared" si="176"/>
        <v>12.17</v>
      </c>
      <c r="CZ43" s="21">
        <f t="shared" si="177"/>
        <v>11.78</v>
      </c>
      <c r="DA43" s="21">
        <f t="shared" si="178"/>
        <v>12.17</v>
      </c>
      <c r="DB43" s="26">
        <f t="shared" si="179"/>
        <v>143.29999999999998</v>
      </c>
      <c r="DC43" s="26">
        <f t="shared" si="180"/>
        <v>514.71</v>
      </c>
      <c r="DD43" s="21">
        <f t="shared" si="181"/>
        <v>12.17</v>
      </c>
      <c r="DE43" s="21">
        <f t="shared" si="183"/>
        <v>10.99</v>
      </c>
      <c r="DF43" s="21">
        <f>ROUND((I43/5/365*31),2)</f>
        <v>12.17</v>
      </c>
      <c r="DG43" s="21">
        <f t="shared" si="184"/>
        <v>11.78</v>
      </c>
      <c r="DH43" s="21">
        <f t="shared" si="185"/>
        <v>12.17</v>
      </c>
      <c r="DI43" s="21">
        <f t="shared" si="189"/>
        <v>11.78</v>
      </c>
      <c r="DJ43" s="26"/>
      <c r="DK43" s="26"/>
      <c r="DL43" s="26"/>
      <c r="DM43" s="26"/>
      <c r="DN43" s="26"/>
      <c r="DO43" s="26"/>
      <c r="DP43" s="26">
        <f t="shared" si="186"/>
        <v>71.06</v>
      </c>
      <c r="DQ43" s="21">
        <f t="shared" si="188"/>
        <v>585.77</v>
      </c>
      <c r="DR43" s="21">
        <f t="shared" si="182"/>
        <v>210.38</v>
      </c>
    </row>
    <row r="44" spans="2:123" ht="41.25">
      <c r="B44" s="35">
        <v>41789</v>
      </c>
      <c r="C44" s="47" t="s">
        <v>114</v>
      </c>
      <c r="D44" s="47" t="s">
        <v>147</v>
      </c>
      <c r="E44" s="46" t="s">
        <v>148</v>
      </c>
      <c r="F44" s="47" t="s">
        <v>149</v>
      </c>
      <c r="G44" s="22">
        <v>796.15</v>
      </c>
      <c r="H44" s="21">
        <f t="shared" si="113"/>
        <v>79.615000000000009</v>
      </c>
      <c r="I44" s="21">
        <f t="shared" si="114"/>
        <v>716.53499999999997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21">
        <f t="shared" si="124"/>
        <v>0</v>
      </c>
      <c r="AZ44" s="48"/>
      <c r="BA44" s="48"/>
      <c r="BB44" s="21"/>
      <c r="BC44" s="21"/>
      <c r="BD44" s="21">
        <f>ROUND((I44/5/365*1),2)</f>
        <v>0.39</v>
      </c>
      <c r="BE44" s="21">
        <f t="shared" si="130"/>
        <v>11.78</v>
      </c>
      <c r="BF44" s="21">
        <f t="shared" si="131"/>
        <v>12.17</v>
      </c>
      <c r="BG44" s="21">
        <f t="shared" si="132"/>
        <v>12.17</v>
      </c>
      <c r="BH44" s="21">
        <f t="shared" si="133"/>
        <v>11.78</v>
      </c>
      <c r="BI44" s="21">
        <f t="shared" si="134"/>
        <v>12.17</v>
      </c>
      <c r="BJ44" s="21">
        <f t="shared" si="135"/>
        <v>11.78</v>
      </c>
      <c r="BK44" s="21">
        <f t="shared" si="136"/>
        <v>12.17</v>
      </c>
      <c r="BL44" s="21">
        <f t="shared" si="137"/>
        <v>84.41</v>
      </c>
      <c r="BM44" s="21">
        <f t="shared" si="138"/>
        <v>84.41</v>
      </c>
      <c r="BN44" s="21">
        <f t="shared" si="139"/>
        <v>12.17</v>
      </c>
      <c r="BO44" s="21">
        <f t="shared" si="140"/>
        <v>10.99</v>
      </c>
      <c r="BP44" s="21">
        <f t="shared" si="141"/>
        <v>12.17</v>
      </c>
      <c r="BQ44" s="21">
        <f t="shared" si="142"/>
        <v>11.78</v>
      </c>
      <c r="BR44" s="21">
        <f t="shared" si="143"/>
        <v>12.17</v>
      </c>
      <c r="BS44" s="21">
        <f t="shared" si="144"/>
        <v>11.78</v>
      </c>
      <c r="BT44" s="21">
        <f t="shared" si="145"/>
        <v>12.17</v>
      </c>
      <c r="BU44" s="21">
        <f t="shared" si="146"/>
        <v>12.17</v>
      </c>
      <c r="BV44" s="21">
        <f t="shared" si="147"/>
        <v>11.78</v>
      </c>
      <c r="BW44" s="21">
        <f t="shared" si="148"/>
        <v>12.17</v>
      </c>
      <c r="BX44" s="21">
        <f t="shared" si="149"/>
        <v>11.78</v>
      </c>
      <c r="BY44" s="21">
        <f t="shared" si="150"/>
        <v>12.17</v>
      </c>
      <c r="BZ44" s="21">
        <f t="shared" si="151"/>
        <v>143.29999999999998</v>
      </c>
      <c r="CA44" s="21">
        <f t="shared" si="152"/>
        <v>227.71</v>
      </c>
      <c r="CB44" s="21">
        <f t="shared" si="153"/>
        <v>12.17</v>
      </c>
      <c r="CC44" s="21">
        <f t="shared" si="154"/>
        <v>11.39</v>
      </c>
      <c r="CD44" s="21">
        <f t="shared" si="155"/>
        <v>12.17</v>
      </c>
      <c r="CE44" s="21">
        <f t="shared" si="156"/>
        <v>11.78</v>
      </c>
      <c r="CF44" s="21">
        <f t="shared" si="157"/>
        <v>12.17</v>
      </c>
      <c r="CG44" s="21">
        <f t="shared" si="158"/>
        <v>11.78</v>
      </c>
      <c r="CH44" s="21">
        <f t="shared" si="159"/>
        <v>12.17</v>
      </c>
      <c r="CI44" s="21">
        <f t="shared" si="160"/>
        <v>12.17</v>
      </c>
      <c r="CJ44" s="21">
        <f t="shared" si="161"/>
        <v>11.78</v>
      </c>
      <c r="CK44" s="21">
        <f t="shared" si="162"/>
        <v>12.17</v>
      </c>
      <c r="CL44" s="21">
        <f t="shared" si="163"/>
        <v>11.78</v>
      </c>
      <c r="CM44" s="21">
        <f t="shared" si="164"/>
        <v>12.17</v>
      </c>
      <c r="CN44" s="21">
        <f t="shared" si="165"/>
        <v>143.69999999999999</v>
      </c>
      <c r="CO44" s="26">
        <f t="shared" si="166"/>
        <v>371.41</v>
      </c>
      <c r="CP44" s="21">
        <f t="shared" si="167"/>
        <v>12.17</v>
      </c>
      <c r="CQ44" s="21">
        <f t="shared" si="168"/>
        <v>10.99</v>
      </c>
      <c r="CR44" s="21">
        <f t="shared" si="169"/>
        <v>12.17</v>
      </c>
      <c r="CS44" s="21">
        <f t="shared" si="170"/>
        <v>11.78</v>
      </c>
      <c r="CT44" s="27">
        <f t="shared" si="171"/>
        <v>12.17</v>
      </c>
      <c r="CU44" s="21">
        <f t="shared" si="172"/>
        <v>11.78</v>
      </c>
      <c r="CV44" s="21">
        <f t="shared" si="173"/>
        <v>12.17</v>
      </c>
      <c r="CW44" s="21">
        <f t="shared" si="174"/>
        <v>12.17</v>
      </c>
      <c r="CX44" s="21">
        <f t="shared" si="175"/>
        <v>11.78</v>
      </c>
      <c r="CY44" s="21">
        <f t="shared" si="176"/>
        <v>12.17</v>
      </c>
      <c r="CZ44" s="21">
        <f t="shared" si="177"/>
        <v>11.78</v>
      </c>
      <c r="DA44" s="21">
        <f t="shared" si="178"/>
        <v>12.17</v>
      </c>
      <c r="DB44" s="26">
        <f t="shared" si="179"/>
        <v>143.29999999999998</v>
      </c>
      <c r="DC44" s="26">
        <f t="shared" si="180"/>
        <v>514.71</v>
      </c>
      <c r="DD44" s="21">
        <f t="shared" si="181"/>
        <v>12.17</v>
      </c>
      <c r="DE44" s="21">
        <f t="shared" si="183"/>
        <v>10.99</v>
      </c>
      <c r="DF44" s="21">
        <f>ROUND((I44/5/365*31),2)</f>
        <v>12.17</v>
      </c>
      <c r="DG44" s="21">
        <f t="shared" si="184"/>
        <v>11.78</v>
      </c>
      <c r="DH44" s="21">
        <f t="shared" si="185"/>
        <v>12.17</v>
      </c>
      <c r="DI44" s="21">
        <f t="shared" si="189"/>
        <v>11.78</v>
      </c>
      <c r="DJ44" s="26"/>
      <c r="DK44" s="26"/>
      <c r="DL44" s="26"/>
      <c r="DM44" s="26"/>
      <c r="DN44" s="26"/>
      <c r="DO44" s="26"/>
      <c r="DP44" s="26">
        <f t="shared" si="186"/>
        <v>71.06</v>
      </c>
      <c r="DQ44" s="21">
        <f t="shared" si="188"/>
        <v>585.77</v>
      </c>
      <c r="DR44" s="21">
        <f t="shared" si="182"/>
        <v>210.38</v>
      </c>
    </row>
    <row r="45" spans="2:123" ht="16.5">
      <c r="B45" s="35">
        <v>41977</v>
      </c>
      <c r="C45" s="36" t="s">
        <v>150</v>
      </c>
      <c r="D45" s="36" t="s">
        <v>151</v>
      </c>
      <c r="E45" s="47" t="s">
        <v>105</v>
      </c>
      <c r="F45" s="49" t="s">
        <v>152</v>
      </c>
      <c r="G45" s="22">
        <v>940.44</v>
      </c>
      <c r="H45" s="21">
        <f t="shared" si="113"/>
        <v>94.044000000000011</v>
      </c>
      <c r="I45" s="21">
        <f t="shared" si="114"/>
        <v>846.39600000000007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21"/>
      <c r="AZ45" s="48"/>
      <c r="BA45" s="48"/>
      <c r="BB45" s="21"/>
      <c r="BC45" s="21"/>
      <c r="BD45" s="21"/>
      <c r="BE45" s="21"/>
      <c r="BF45" s="21"/>
      <c r="BG45" s="21"/>
      <c r="BH45" s="21"/>
      <c r="BI45" s="21"/>
      <c r="BJ45" s="21"/>
      <c r="BK45" s="21">
        <f>ROUND((I45/5/365*27),2)</f>
        <v>12.52</v>
      </c>
      <c r="BL45" s="21">
        <f t="shared" si="137"/>
        <v>12.52</v>
      </c>
      <c r="BM45" s="21">
        <f t="shared" si="138"/>
        <v>12.52</v>
      </c>
      <c r="BN45" s="21">
        <f t="shared" si="139"/>
        <v>14.38</v>
      </c>
      <c r="BO45" s="21">
        <f t="shared" si="140"/>
        <v>12.99</v>
      </c>
      <c r="BP45" s="21">
        <f t="shared" si="141"/>
        <v>14.38</v>
      </c>
      <c r="BQ45" s="21">
        <f t="shared" si="142"/>
        <v>13.91</v>
      </c>
      <c r="BR45" s="21">
        <f t="shared" si="143"/>
        <v>14.38</v>
      </c>
      <c r="BS45" s="21">
        <f t="shared" si="144"/>
        <v>13.91</v>
      </c>
      <c r="BT45" s="21">
        <f t="shared" si="145"/>
        <v>14.38</v>
      </c>
      <c r="BU45" s="21">
        <f t="shared" si="146"/>
        <v>14.38</v>
      </c>
      <c r="BV45" s="21">
        <f t="shared" si="147"/>
        <v>13.91</v>
      </c>
      <c r="BW45" s="21">
        <f t="shared" si="148"/>
        <v>14.38</v>
      </c>
      <c r="BX45" s="21">
        <f t="shared" si="149"/>
        <v>13.91</v>
      </c>
      <c r="BY45" s="21">
        <f t="shared" si="150"/>
        <v>14.38</v>
      </c>
      <c r="BZ45" s="21">
        <f t="shared" si="151"/>
        <v>169.28999999999996</v>
      </c>
      <c r="CA45" s="21">
        <f t="shared" si="152"/>
        <v>181.81</v>
      </c>
      <c r="CB45" s="21">
        <f t="shared" si="153"/>
        <v>14.38</v>
      </c>
      <c r="CC45" s="21">
        <f t="shared" si="154"/>
        <v>13.45</v>
      </c>
      <c r="CD45" s="21">
        <f t="shared" si="155"/>
        <v>14.38</v>
      </c>
      <c r="CE45" s="21">
        <f t="shared" si="156"/>
        <v>13.91</v>
      </c>
      <c r="CF45" s="21">
        <f t="shared" si="157"/>
        <v>14.38</v>
      </c>
      <c r="CG45" s="21">
        <f t="shared" si="158"/>
        <v>13.91</v>
      </c>
      <c r="CH45" s="21">
        <f t="shared" si="159"/>
        <v>14.38</v>
      </c>
      <c r="CI45" s="21">
        <f t="shared" si="160"/>
        <v>14.38</v>
      </c>
      <c r="CJ45" s="21">
        <f t="shared" si="161"/>
        <v>13.91</v>
      </c>
      <c r="CK45" s="21">
        <f t="shared" si="162"/>
        <v>14.38</v>
      </c>
      <c r="CL45" s="21">
        <f t="shared" si="163"/>
        <v>13.91</v>
      </c>
      <c r="CM45" s="21">
        <f t="shared" si="164"/>
        <v>14.38</v>
      </c>
      <c r="CN45" s="21">
        <f t="shared" si="165"/>
        <v>169.74999999999997</v>
      </c>
      <c r="CO45" s="26">
        <f t="shared" si="166"/>
        <v>351.56</v>
      </c>
      <c r="CP45" s="21">
        <f t="shared" si="167"/>
        <v>14.38</v>
      </c>
      <c r="CQ45" s="21">
        <f t="shared" si="168"/>
        <v>12.99</v>
      </c>
      <c r="CR45" s="21">
        <f t="shared" si="169"/>
        <v>14.38</v>
      </c>
      <c r="CS45" s="21">
        <f t="shared" si="170"/>
        <v>13.91</v>
      </c>
      <c r="CT45" s="27">
        <f t="shared" si="171"/>
        <v>14.38</v>
      </c>
      <c r="CU45" s="21">
        <f t="shared" si="172"/>
        <v>13.91</v>
      </c>
      <c r="CV45" s="21">
        <f t="shared" si="173"/>
        <v>14.38</v>
      </c>
      <c r="CW45" s="21">
        <f t="shared" si="174"/>
        <v>14.38</v>
      </c>
      <c r="CX45" s="21">
        <f t="shared" si="175"/>
        <v>13.91</v>
      </c>
      <c r="CY45" s="21">
        <f t="shared" si="176"/>
        <v>14.38</v>
      </c>
      <c r="CZ45" s="21">
        <f t="shared" si="177"/>
        <v>13.91</v>
      </c>
      <c r="DA45" s="21">
        <f t="shared" si="178"/>
        <v>14.38</v>
      </c>
      <c r="DB45" s="26">
        <f t="shared" si="179"/>
        <v>169.28999999999996</v>
      </c>
      <c r="DC45" s="26">
        <f t="shared" si="180"/>
        <v>520.85</v>
      </c>
      <c r="DD45" s="21">
        <f t="shared" si="181"/>
        <v>14.38</v>
      </c>
      <c r="DE45" s="21">
        <f t="shared" si="183"/>
        <v>12.99</v>
      </c>
      <c r="DF45" s="21">
        <f t="shared" si="187"/>
        <v>14.38</v>
      </c>
      <c r="DG45" s="21">
        <f t="shared" si="184"/>
        <v>13.91</v>
      </c>
      <c r="DH45" s="21">
        <f t="shared" si="185"/>
        <v>14.38</v>
      </c>
      <c r="DI45" s="21">
        <f t="shared" si="189"/>
        <v>13.91</v>
      </c>
      <c r="DJ45" s="26"/>
      <c r="DK45" s="26"/>
      <c r="DL45" s="26"/>
      <c r="DM45" s="26"/>
      <c r="DN45" s="26"/>
      <c r="DO45" s="26"/>
      <c r="DP45" s="26">
        <f t="shared" si="186"/>
        <v>83.949999999999989</v>
      </c>
      <c r="DQ45" s="21">
        <f t="shared" si="188"/>
        <v>604.79999999999995</v>
      </c>
      <c r="DR45" s="21">
        <f t="shared" si="182"/>
        <v>335.6400000000001</v>
      </c>
    </row>
    <row r="46" spans="2:123" ht="57.75">
      <c r="B46" s="35">
        <v>41988</v>
      </c>
      <c r="C46" s="36" t="s">
        <v>114</v>
      </c>
      <c r="D46" s="36" t="s">
        <v>153</v>
      </c>
      <c r="E46" s="36" t="s">
        <v>98</v>
      </c>
      <c r="F46" s="47" t="s">
        <v>154</v>
      </c>
      <c r="G46" s="22">
        <v>1650</v>
      </c>
      <c r="H46" s="21">
        <f t="shared" si="113"/>
        <v>165</v>
      </c>
      <c r="I46" s="21">
        <f t="shared" si="114"/>
        <v>1485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21"/>
      <c r="AZ46" s="48"/>
      <c r="BA46" s="48"/>
      <c r="BB46" s="21"/>
      <c r="BC46" s="21"/>
      <c r="BD46" s="21"/>
      <c r="BE46" s="21"/>
      <c r="BF46" s="21"/>
      <c r="BG46" s="21"/>
      <c r="BH46" s="21"/>
      <c r="BI46" s="21"/>
      <c r="BJ46" s="21"/>
      <c r="BK46" s="21">
        <f>ROUND((I46/5/365*16),2)</f>
        <v>13.02</v>
      </c>
      <c r="BL46" s="21">
        <f t="shared" si="137"/>
        <v>13.02</v>
      </c>
      <c r="BM46" s="21">
        <f t="shared" si="138"/>
        <v>13.02</v>
      </c>
      <c r="BN46" s="21">
        <f t="shared" si="139"/>
        <v>25.22</v>
      </c>
      <c r="BO46" s="21">
        <f t="shared" si="140"/>
        <v>22.78</v>
      </c>
      <c r="BP46" s="21">
        <f t="shared" si="141"/>
        <v>25.22</v>
      </c>
      <c r="BQ46" s="21">
        <f t="shared" si="142"/>
        <v>24.41</v>
      </c>
      <c r="BR46" s="21">
        <f t="shared" si="143"/>
        <v>25.22</v>
      </c>
      <c r="BS46" s="21">
        <f t="shared" si="144"/>
        <v>24.41</v>
      </c>
      <c r="BT46" s="21">
        <f t="shared" si="145"/>
        <v>25.22</v>
      </c>
      <c r="BU46" s="21">
        <f t="shared" si="146"/>
        <v>25.22</v>
      </c>
      <c r="BV46" s="21">
        <f t="shared" si="147"/>
        <v>24.41</v>
      </c>
      <c r="BW46" s="21">
        <f t="shared" si="148"/>
        <v>25.22</v>
      </c>
      <c r="BX46" s="21">
        <f t="shared" si="149"/>
        <v>24.41</v>
      </c>
      <c r="BY46" s="21">
        <f t="shared" si="150"/>
        <v>25.22</v>
      </c>
      <c r="BZ46" s="21">
        <f t="shared" si="151"/>
        <v>296.96000000000004</v>
      </c>
      <c r="CA46" s="21">
        <f t="shared" si="152"/>
        <v>309.98</v>
      </c>
      <c r="CB46" s="21">
        <f t="shared" si="153"/>
        <v>25.22</v>
      </c>
      <c r="CC46" s="21">
        <f t="shared" si="154"/>
        <v>23.6</v>
      </c>
      <c r="CD46" s="21">
        <f t="shared" si="155"/>
        <v>25.22</v>
      </c>
      <c r="CE46" s="21">
        <f t="shared" si="156"/>
        <v>24.41</v>
      </c>
      <c r="CF46" s="21">
        <f t="shared" si="157"/>
        <v>25.22</v>
      </c>
      <c r="CG46" s="21">
        <f t="shared" si="158"/>
        <v>24.41</v>
      </c>
      <c r="CH46" s="21">
        <f t="shared" si="159"/>
        <v>25.22</v>
      </c>
      <c r="CI46" s="21">
        <f t="shared" si="160"/>
        <v>25.22</v>
      </c>
      <c r="CJ46" s="21">
        <f t="shared" si="161"/>
        <v>24.41</v>
      </c>
      <c r="CK46" s="21">
        <f t="shared" si="162"/>
        <v>25.22</v>
      </c>
      <c r="CL46" s="21">
        <f t="shared" si="163"/>
        <v>24.41</v>
      </c>
      <c r="CM46" s="21">
        <f t="shared" si="164"/>
        <v>25.22</v>
      </c>
      <c r="CN46" s="21">
        <f t="shared" si="165"/>
        <v>297.77999999999997</v>
      </c>
      <c r="CO46" s="26">
        <f t="shared" si="166"/>
        <v>607.76</v>
      </c>
      <c r="CP46" s="21">
        <f t="shared" si="167"/>
        <v>25.22</v>
      </c>
      <c r="CQ46" s="21">
        <f t="shared" si="168"/>
        <v>22.78</v>
      </c>
      <c r="CR46" s="21">
        <f t="shared" si="169"/>
        <v>25.22</v>
      </c>
      <c r="CS46" s="21">
        <f t="shared" si="170"/>
        <v>24.41</v>
      </c>
      <c r="CT46" s="27">
        <f t="shared" si="171"/>
        <v>25.22</v>
      </c>
      <c r="CU46" s="21">
        <f t="shared" si="172"/>
        <v>24.41</v>
      </c>
      <c r="CV46" s="21">
        <f t="shared" si="173"/>
        <v>25.22</v>
      </c>
      <c r="CW46" s="21">
        <f t="shared" si="174"/>
        <v>25.22</v>
      </c>
      <c r="CX46" s="21">
        <f t="shared" si="175"/>
        <v>24.41</v>
      </c>
      <c r="CY46" s="21">
        <f t="shared" si="176"/>
        <v>25.22</v>
      </c>
      <c r="CZ46" s="21">
        <f t="shared" si="177"/>
        <v>24.41</v>
      </c>
      <c r="DA46" s="21">
        <f t="shared" si="178"/>
        <v>25.22</v>
      </c>
      <c r="DB46" s="26">
        <f t="shared" si="179"/>
        <v>296.96000000000004</v>
      </c>
      <c r="DC46" s="26">
        <f t="shared" si="180"/>
        <v>904.72</v>
      </c>
      <c r="DD46" s="21">
        <f t="shared" si="181"/>
        <v>25.22</v>
      </c>
      <c r="DE46" s="21">
        <f t="shared" si="183"/>
        <v>22.78</v>
      </c>
      <c r="DF46" s="21">
        <f t="shared" si="187"/>
        <v>25.22</v>
      </c>
      <c r="DG46" s="21">
        <f t="shared" si="184"/>
        <v>24.41</v>
      </c>
      <c r="DH46" s="21">
        <f t="shared" si="185"/>
        <v>25.22</v>
      </c>
      <c r="DI46" s="21">
        <f t="shared" si="189"/>
        <v>24.41</v>
      </c>
      <c r="DJ46" s="26"/>
      <c r="DK46" s="26"/>
      <c r="DL46" s="26"/>
      <c r="DM46" s="26"/>
      <c r="DN46" s="26"/>
      <c r="DO46" s="26"/>
      <c r="DP46" s="26">
        <f t="shared" si="186"/>
        <v>147.26</v>
      </c>
      <c r="DQ46" s="21">
        <f t="shared" si="188"/>
        <v>1051.98</v>
      </c>
      <c r="DR46" s="21">
        <f t="shared" si="182"/>
        <v>598.02</v>
      </c>
    </row>
    <row r="47" spans="2:123" ht="49.5">
      <c r="B47" s="35">
        <v>41988</v>
      </c>
      <c r="C47" s="36" t="s">
        <v>114</v>
      </c>
      <c r="D47" s="36" t="s">
        <v>155</v>
      </c>
      <c r="E47" s="36" t="s">
        <v>98</v>
      </c>
      <c r="F47" s="47" t="s">
        <v>156</v>
      </c>
      <c r="G47" s="22">
        <v>2897</v>
      </c>
      <c r="H47" s="21">
        <f t="shared" si="113"/>
        <v>289.7</v>
      </c>
      <c r="I47" s="21">
        <f t="shared" si="114"/>
        <v>2607.3000000000002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21"/>
      <c r="AZ47" s="48"/>
      <c r="BA47" s="48"/>
      <c r="BB47" s="21"/>
      <c r="BC47" s="21"/>
      <c r="BD47" s="21"/>
      <c r="BE47" s="21"/>
      <c r="BF47" s="21"/>
      <c r="BG47" s="21"/>
      <c r="BH47" s="21"/>
      <c r="BI47" s="21"/>
      <c r="BJ47" s="21"/>
      <c r="BK47" s="21">
        <f>ROUND((I47/5/365*16),2)</f>
        <v>22.86</v>
      </c>
      <c r="BL47" s="21">
        <f t="shared" si="137"/>
        <v>22.86</v>
      </c>
      <c r="BM47" s="21">
        <f t="shared" si="138"/>
        <v>22.86</v>
      </c>
      <c r="BN47" s="21">
        <f t="shared" si="139"/>
        <v>44.29</v>
      </c>
      <c r="BO47" s="21">
        <f t="shared" si="140"/>
        <v>40</v>
      </c>
      <c r="BP47" s="21">
        <f t="shared" si="141"/>
        <v>44.29</v>
      </c>
      <c r="BQ47" s="21">
        <f t="shared" si="142"/>
        <v>42.86</v>
      </c>
      <c r="BR47" s="21">
        <f t="shared" si="143"/>
        <v>44.29</v>
      </c>
      <c r="BS47" s="21">
        <f t="shared" si="144"/>
        <v>42.86</v>
      </c>
      <c r="BT47" s="21">
        <f t="shared" si="145"/>
        <v>44.29</v>
      </c>
      <c r="BU47" s="21">
        <f t="shared" si="146"/>
        <v>44.29</v>
      </c>
      <c r="BV47" s="21">
        <f t="shared" si="147"/>
        <v>42.86</v>
      </c>
      <c r="BW47" s="21">
        <f t="shared" si="148"/>
        <v>44.29</v>
      </c>
      <c r="BX47" s="21">
        <f t="shared" si="149"/>
        <v>42.86</v>
      </c>
      <c r="BY47" s="21">
        <f t="shared" si="150"/>
        <v>44.29</v>
      </c>
      <c r="BZ47" s="21">
        <f t="shared" si="151"/>
        <v>521.47</v>
      </c>
      <c r="CA47" s="21">
        <f t="shared" si="152"/>
        <v>544.33000000000004</v>
      </c>
      <c r="CB47" s="21">
        <f t="shared" si="153"/>
        <v>44.29</v>
      </c>
      <c r="CC47" s="21">
        <f t="shared" si="154"/>
        <v>41.43</v>
      </c>
      <c r="CD47" s="21">
        <f t="shared" si="155"/>
        <v>44.29</v>
      </c>
      <c r="CE47" s="21">
        <f t="shared" si="156"/>
        <v>42.86</v>
      </c>
      <c r="CF47" s="21">
        <f t="shared" si="157"/>
        <v>44.29</v>
      </c>
      <c r="CG47" s="21">
        <f t="shared" si="158"/>
        <v>42.86</v>
      </c>
      <c r="CH47" s="21">
        <f t="shared" si="159"/>
        <v>44.29</v>
      </c>
      <c r="CI47" s="21">
        <f t="shared" si="160"/>
        <v>44.29</v>
      </c>
      <c r="CJ47" s="21">
        <f t="shared" si="161"/>
        <v>42.86</v>
      </c>
      <c r="CK47" s="21">
        <f t="shared" si="162"/>
        <v>44.29</v>
      </c>
      <c r="CL47" s="21">
        <f t="shared" si="163"/>
        <v>42.86</v>
      </c>
      <c r="CM47" s="21">
        <f t="shared" si="164"/>
        <v>44.29</v>
      </c>
      <c r="CN47" s="21">
        <f t="shared" si="165"/>
        <v>522.90000000000009</v>
      </c>
      <c r="CO47" s="26">
        <f t="shared" si="166"/>
        <v>1067.23</v>
      </c>
      <c r="CP47" s="21">
        <f t="shared" si="167"/>
        <v>44.29</v>
      </c>
      <c r="CQ47" s="21">
        <f t="shared" si="168"/>
        <v>40</v>
      </c>
      <c r="CR47" s="21">
        <f t="shared" si="169"/>
        <v>44.29</v>
      </c>
      <c r="CS47" s="21">
        <f t="shared" si="170"/>
        <v>42.86</v>
      </c>
      <c r="CT47" s="27">
        <f t="shared" si="171"/>
        <v>44.29</v>
      </c>
      <c r="CU47" s="21">
        <f t="shared" si="172"/>
        <v>42.86</v>
      </c>
      <c r="CV47" s="21">
        <f t="shared" si="173"/>
        <v>44.29</v>
      </c>
      <c r="CW47" s="21">
        <f t="shared" si="174"/>
        <v>44.29</v>
      </c>
      <c r="CX47" s="21">
        <f t="shared" si="175"/>
        <v>42.86</v>
      </c>
      <c r="CY47" s="21">
        <f t="shared" si="176"/>
        <v>44.29</v>
      </c>
      <c r="CZ47" s="21">
        <f t="shared" si="177"/>
        <v>42.86</v>
      </c>
      <c r="DA47" s="21">
        <f t="shared" si="178"/>
        <v>44.29</v>
      </c>
      <c r="DB47" s="26">
        <f t="shared" ref="DB47:DB78" si="190">SUM(CP47:DA47)</f>
        <v>521.47</v>
      </c>
      <c r="DC47" s="26">
        <f t="shared" si="180"/>
        <v>1588.7</v>
      </c>
      <c r="DD47" s="21">
        <f t="shared" si="181"/>
        <v>44.29</v>
      </c>
      <c r="DE47" s="21">
        <f t="shared" si="183"/>
        <v>40</v>
      </c>
      <c r="DF47" s="21">
        <f t="shared" si="187"/>
        <v>44.29</v>
      </c>
      <c r="DG47" s="21">
        <f t="shared" si="184"/>
        <v>42.86</v>
      </c>
      <c r="DH47" s="21">
        <f t="shared" si="185"/>
        <v>44.29</v>
      </c>
      <c r="DI47" s="21">
        <f t="shared" si="189"/>
        <v>42.86</v>
      </c>
      <c r="DJ47" s="26"/>
      <c r="DK47" s="26"/>
      <c r="DL47" s="26"/>
      <c r="DM47" s="26"/>
      <c r="DN47" s="26"/>
      <c r="DO47" s="26"/>
      <c r="DP47" s="26">
        <f t="shared" si="186"/>
        <v>258.58999999999997</v>
      </c>
      <c r="DQ47" s="21">
        <f t="shared" si="188"/>
        <v>1847.29</v>
      </c>
      <c r="DR47" s="21">
        <f t="shared" si="182"/>
        <v>1049.71</v>
      </c>
    </row>
    <row r="48" spans="2:123" ht="16.5">
      <c r="B48" s="35">
        <v>41992</v>
      </c>
      <c r="C48" s="50" t="s">
        <v>157</v>
      </c>
      <c r="D48" s="50" t="s">
        <v>158</v>
      </c>
      <c r="E48" s="36" t="s">
        <v>159</v>
      </c>
      <c r="F48" s="51" t="s">
        <v>160</v>
      </c>
      <c r="G48" s="22">
        <v>3525.7</v>
      </c>
      <c r="H48" s="21">
        <f t="shared" si="113"/>
        <v>352.57</v>
      </c>
      <c r="I48" s="21">
        <f t="shared" si="114"/>
        <v>3173.13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21"/>
      <c r="AZ48" s="48"/>
      <c r="BA48" s="48"/>
      <c r="BB48" s="21"/>
      <c r="BC48" s="21"/>
      <c r="BD48" s="21"/>
      <c r="BE48" s="21"/>
      <c r="BF48" s="21"/>
      <c r="BG48" s="21"/>
      <c r="BH48" s="21"/>
      <c r="BI48" s="21"/>
      <c r="BJ48" s="21"/>
      <c r="BK48" s="21">
        <f>ROUND((I48/5/365*12),2)</f>
        <v>20.86</v>
      </c>
      <c r="BL48" s="21">
        <f t="shared" si="137"/>
        <v>20.86</v>
      </c>
      <c r="BM48" s="21">
        <f t="shared" si="138"/>
        <v>20.86</v>
      </c>
      <c r="BN48" s="21">
        <f t="shared" si="139"/>
        <v>53.9</v>
      </c>
      <c r="BO48" s="21">
        <f t="shared" si="140"/>
        <v>48.68</v>
      </c>
      <c r="BP48" s="21">
        <f t="shared" si="141"/>
        <v>53.9</v>
      </c>
      <c r="BQ48" s="21">
        <f t="shared" si="142"/>
        <v>52.16</v>
      </c>
      <c r="BR48" s="21">
        <f t="shared" si="143"/>
        <v>53.9</v>
      </c>
      <c r="BS48" s="21">
        <f t="shared" si="144"/>
        <v>52.16</v>
      </c>
      <c r="BT48" s="21">
        <f t="shared" si="145"/>
        <v>53.9</v>
      </c>
      <c r="BU48" s="21">
        <f t="shared" si="146"/>
        <v>53.9</v>
      </c>
      <c r="BV48" s="21">
        <f t="shared" si="147"/>
        <v>52.16</v>
      </c>
      <c r="BW48" s="21">
        <f t="shared" si="148"/>
        <v>53.9</v>
      </c>
      <c r="BX48" s="21">
        <f t="shared" si="149"/>
        <v>52.16</v>
      </c>
      <c r="BY48" s="21">
        <f t="shared" si="150"/>
        <v>53.9</v>
      </c>
      <c r="BZ48" s="21">
        <f t="shared" si="151"/>
        <v>634.61999999999978</v>
      </c>
      <c r="CA48" s="21">
        <f t="shared" si="152"/>
        <v>655.48</v>
      </c>
      <c r="CB48" s="21">
        <f t="shared" si="153"/>
        <v>53.9</v>
      </c>
      <c r="CC48" s="21">
        <f t="shared" si="154"/>
        <v>50.42</v>
      </c>
      <c r="CD48" s="21">
        <f t="shared" si="155"/>
        <v>53.9</v>
      </c>
      <c r="CE48" s="21">
        <f t="shared" si="156"/>
        <v>52.16</v>
      </c>
      <c r="CF48" s="21">
        <f t="shared" si="157"/>
        <v>53.9</v>
      </c>
      <c r="CG48" s="21">
        <f t="shared" si="158"/>
        <v>52.16</v>
      </c>
      <c r="CH48" s="21">
        <f t="shared" si="159"/>
        <v>53.9</v>
      </c>
      <c r="CI48" s="21">
        <f t="shared" si="160"/>
        <v>53.9</v>
      </c>
      <c r="CJ48" s="21">
        <f t="shared" si="161"/>
        <v>52.16</v>
      </c>
      <c r="CK48" s="21">
        <f t="shared" si="162"/>
        <v>53.9</v>
      </c>
      <c r="CL48" s="21">
        <f t="shared" si="163"/>
        <v>52.16</v>
      </c>
      <c r="CM48" s="21">
        <f t="shared" si="164"/>
        <v>53.9</v>
      </c>
      <c r="CN48" s="21">
        <f t="shared" si="165"/>
        <v>636.35999999999979</v>
      </c>
      <c r="CO48" s="26">
        <f t="shared" si="166"/>
        <v>1291.8399999999999</v>
      </c>
      <c r="CP48" s="21">
        <f t="shared" si="167"/>
        <v>53.9</v>
      </c>
      <c r="CQ48" s="21">
        <f t="shared" si="168"/>
        <v>48.68</v>
      </c>
      <c r="CR48" s="21">
        <f t="shared" si="169"/>
        <v>53.9</v>
      </c>
      <c r="CS48" s="21">
        <f t="shared" si="170"/>
        <v>52.16</v>
      </c>
      <c r="CT48" s="27">
        <f t="shared" si="171"/>
        <v>53.9</v>
      </c>
      <c r="CU48" s="21">
        <f t="shared" si="172"/>
        <v>52.16</v>
      </c>
      <c r="CV48" s="21">
        <f t="shared" si="173"/>
        <v>53.9</v>
      </c>
      <c r="CW48" s="21">
        <f t="shared" si="174"/>
        <v>53.9</v>
      </c>
      <c r="CX48" s="21">
        <f t="shared" si="175"/>
        <v>52.16</v>
      </c>
      <c r="CY48" s="21">
        <f t="shared" si="176"/>
        <v>53.9</v>
      </c>
      <c r="CZ48" s="21">
        <f t="shared" si="177"/>
        <v>52.16</v>
      </c>
      <c r="DA48" s="21">
        <f t="shared" si="178"/>
        <v>53.9</v>
      </c>
      <c r="DB48" s="26">
        <f t="shared" si="190"/>
        <v>634.61999999999978</v>
      </c>
      <c r="DC48" s="26">
        <f t="shared" si="180"/>
        <v>1926.46</v>
      </c>
      <c r="DD48" s="21">
        <f t="shared" si="181"/>
        <v>53.9</v>
      </c>
      <c r="DE48" s="21">
        <f t="shared" si="183"/>
        <v>48.68</v>
      </c>
      <c r="DF48" s="21">
        <f t="shared" si="187"/>
        <v>53.9</v>
      </c>
      <c r="DG48" s="21">
        <f t="shared" si="184"/>
        <v>52.16</v>
      </c>
      <c r="DH48" s="21">
        <f t="shared" si="185"/>
        <v>53.9</v>
      </c>
      <c r="DI48" s="21">
        <f t="shared" si="189"/>
        <v>52.16</v>
      </c>
      <c r="DJ48" s="26"/>
      <c r="DK48" s="26"/>
      <c r="DL48" s="26"/>
      <c r="DM48" s="26"/>
      <c r="DN48" s="26"/>
      <c r="DO48" s="26"/>
      <c r="DP48" s="26">
        <f t="shared" si="186"/>
        <v>314.69999999999993</v>
      </c>
      <c r="DQ48" s="21">
        <f t="shared" si="188"/>
        <v>2241.16</v>
      </c>
      <c r="DR48" s="21">
        <f t="shared" si="182"/>
        <v>1284.54</v>
      </c>
    </row>
    <row r="49" spans="2:123" ht="16.5">
      <c r="B49" s="35">
        <v>41992</v>
      </c>
      <c r="C49" s="50" t="s">
        <v>157</v>
      </c>
      <c r="D49" s="50" t="s">
        <v>158</v>
      </c>
      <c r="E49" s="36" t="s">
        <v>159</v>
      </c>
      <c r="F49" s="51" t="s">
        <v>161</v>
      </c>
      <c r="G49" s="22">
        <v>3525.7</v>
      </c>
      <c r="H49" s="21">
        <f t="shared" si="113"/>
        <v>352.57</v>
      </c>
      <c r="I49" s="21">
        <f t="shared" si="114"/>
        <v>3173.13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21"/>
      <c r="AZ49" s="48"/>
      <c r="BA49" s="48"/>
      <c r="BB49" s="21"/>
      <c r="BC49" s="21"/>
      <c r="BD49" s="21"/>
      <c r="BE49" s="21"/>
      <c r="BF49" s="21"/>
      <c r="BG49" s="21"/>
      <c r="BH49" s="21"/>
      <c r="BI49" s="21"/>
      <c r="BJ49" s="21"/>
      <c r="BK49" s="21">
        <f>ROUND((I49/5/365*12),2)</f>
        <v>20.86</v>
      </c>
      <c r="BL49" s="21">
        <f t="shared" si="137"/>
        <v>20.86</v>
      </c>
      <c r="BM49" s="21">
        <f t="shared" si="138"/>
        <v>20.86</v>
      </c>
      <c r="BN49" s="21">
        <f t="shared" si="139"/>
        <v>53.9</v>
      </c>
      <c r="BO49" s="21">
        <f t="shared" si="140"/>
        <v>48.68</v>
      </c>
      <c r="BP49" s="21">
        <f t="shared" si="141"/>
        <v>53.9</v>
      </c>
      <c r="BQ49" s="21">
        <f t="shared" si="142"/>
        <v>52.16</v>
      </c>
      <c r="BR49" s="21">
        <f t="shared" si="143"/>
        <v>53.9</v>
      </c>
      <c r="BS49" s="21">
        <f t="shared" si="144"/>
        <v>52.16</v>
      </c>
      <c r="BT49" s="21">
        <f t="shared" si="145"/>
        <v>53.9</v>
      </c>
      <c r="BU49" s="21">
        <f t="shared" si="146"/>
        <v>53.9</v>
      </c>
      <c r="BV49" s="21">
        <f t="shared" si="147"/>
        <v>52.16</v>
      </c>
      <c r="BW49" s="21">
        <f t="shared" si="148"/>
        <v>53.9</v>
      </c>
      <c r="BX49" s="21">
        <f t="shared" si="149"/>
        <v>52.16</v>
      </c>
      <c r="BY49" s="21">
        <f t="shared" si="150"/>
        <v>53.9</v>
      </c>
      <c r="BZ49" s="21">
        <f t="shared" si="151"/>
        <v>634.61999999999978</v>
      </c>
      <c r="CA49" s="21">
        <f t="shared" si="152"/>
        <v>655.48</v>
      </c>
      <c r="CB49" s="21">
        <f t="shared" si="153"/>
        <v>53.9</v>
      </c>
      <c r="CC49" s="21">
        <f t="shared" si="154"/>
        <v>50.42</v>
      </c>
      <c r="CD49" s="21">
        <f t="shared" si="155"/>
        <v>53.9</v>
      </c>
      <c r="CE49" s="21">
        <f t="shared" si="156"/>
        <v>52.16</v>
      </c>
      <c r="CF49" s="21">
        <f t="shared" si="157"/>
        <v>53.9</v>
      </c>
      <c r="CG49" s="21">
        <f t="shared" si="158"/>
        <v>52.16</v>
      </c>
      <c r="CH49" s="21">
        <f t="shared" si="159"/>
        <v>53.9</v>
      </c>
      <c r="CI49" s="21">
        <f t="shared" si="160"/>
        <v>53.9</v>
      </c>
      <c r="CJ49" s="21">
        <f t="shared" si="161"/>
        <v>52.16</v>
      </c>
      <c r="CK49" s="21">
        <f t="shared" si="162"/>
        <v>53.9</v>
      </c>
      <c r="CL49" s="21">
        <f t="shared" si="163"/>
        <v>52.16</v>
      </c>
      <c r="CM49" s="21">
        <f t="shared" si="164"/>
        <v>53.9</v>
      </c>
      <c r="CN49" s="21">
        <f t="shared" si="165"/>
        <v>636.35999999999979</v>
      </c>
      <c r="CO49" s="26">
        <f t="shared" si="166"/>
        <v>1291.8399999999999</v>
      </c>
      <c r="CP49" s="21">
        <f t="shared" si="167"/>
        <v>53.9</v>
      </c>
      <c r="CQ49" s="21">
        <f t="shared" si="168"/>
        <v>48.68</v>
      </c>
      <c r="CR49" s="21">
        <f t="shared" si="169"/>
        <v>53.9</v>
      </c>
      <c r="CS49" s="21">
        <f t="shared" si="170"/>
        <v>52.16</v>
      </c>
      <c r="CT49" s="27">
        <f t="shared" si="171"/>
        <v>53.9</v>
      </c>
      <c r="CU49" s="21">
        <f t="shared" si="172"/>
        <v>52.16</v>
      </c>
      <c r="CV49" s="21">
        <f t="shared" si="173"/>
        <v>53.9</v>
      </c>
      <c r="CW49" s="21">
        <f t="shared" si="174"/>
        <v>53.9</v>
      </c>
      <c r="CX49" s="21">
        <f t="shared" si="175"/>
        <v>52.16</v>
      </c>
      <c r="CY49" s="21">
        <f t="shared" si="176"/>
        <v>53.9</v>
      </c>
      <c r="CZ49" s="21">
        <f t="shared" si="177"/>
        <v>52.16</v>
      </c>
      <c r="DA49" s="21">
        <f t="shared" si="178"/>
        <v>53.9</v>
      </c>
      <c r="DB49" s="26">
        <f t="shared" si="190"/>
        <v>634.61999999999978</v>
      </c>
      <c r="DC49" s="26">
        <f t="shared" si="180"/>
        <v>1926.46</v>
      </c>
      <c r="DD49" s="21">
        <f t="shared" si="181"/>
        <v>53.9</v>
      </c>
      <c r="DE49" s="21">
        <f t="shared" si="183"/>
        <v>48.68</v>
      </c>
      <c r="DF49" s="21">
        <f t="shared" si="187"/>
        <v>53.9</v>
      </c>
      <c r="DG49" s="21">
        <f t="shared" si="184"/>
        <v>52.16</v>
      </c>
      <c r="DH49" s="21">
        <f t="shared" si="185"/>
        <v>53.9</v>
      </c>
      <c r="DI49" s="21">
        <f t="shared" si="189"/>
        <v>52.16</v>
      </c>
      <c r="DJ49" s="26"/>
      <c r="DK49" s="26"/>
      <c r="DL49" s="26"/>
      <c r="DM49" s="26"/>
      <c r="DN49" s="26"/>
      <c r="DO49" s="26"/>
      <c r="DP49" s="26">
        <f t="shared" si="186"/>
        <v>314.69999999999993</v>
      </c>
      <c r="DQ49" s="21">
        <f t="shared" si="188"/>
        <v>2241.16</v>
      </c>
      <c r="DR49" s="21">
        <f t="shared" si="182"/>
        <v>1284.54</v>
      </c>
    </row>
    <row r="50" spans="2:123" ht="16.5">
      <c r="B50" s="35">
        <v>41992</v>
      </c>
      <c r="C50" s="50" t="s">
        <v>157</v>
      </c>
      <c r="D50" s="50" t="s">
        <v>158</v>
      </c>
      <c r="E50" s="36" t="s">
        <v>159</v>
      </c>
      <c r="F50" s="51" t="s">
        <v>162</v>
      </c>
      <c r="G50" s="22">
        <v>3525.7</v>
      </c>
      <c r="H50" s="21">
        <f t="shared" si="113"/>
        <v>352.57</v>
      </c>
      <c r="I50" s="21">
        <f t="shared" si="114"/>
        <v>3173.13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21"/>
      <c r="AZ50" s="48"/>
      <c r="BA50" s="48"/>
      <c r="BB50" s="21"/>
      <c r="BC50" s="21"/>
      <c r="BD50" s="21"/>
      <c r="BE50" s="21"/>
      <c r="BF50" s="21"/>
      <c r="BG50" s="21"/>
      <c r="BH50" s="21"/>
      <c r="BI50" s="21"/>
      <c r="BJ50" s="21"/>
      <c r="BK50" s="21">
        <f>ROUND((I50/5/365*12),2)</f>
        <v>20.86</v>
      </c>
      <c r="BL50" s="21">
        <f t="shared" si="137"/>
        <v>20.86</v>
      </c>
      <c r="BM50" s="21">
        <f t="shared" si="138"/>
        <v>20.86</v>
      </c>
      <c r="BN50" s="21">
        <f t="shared" si="139"/>
        <v>53.9</v>
      </c>
      <c r="BO50" s="21">
        <f t="shared" si="140"/>
        <v>48.68</v>
      </c>
      <c r="BP50" s="21">
        <f t="shared" si="141"/>
        <v>53.9</v>
      </c>
      <c r="BQ50" s="21">
        <f t="shared" si="142"/>
        <v>52.16</v>
      </c>
      <c r="BR50" s="21">
        <f t="shared" si="143"/>
        <v>53.9</v>
      </c>
      <c r="BS50" s="21">
        <f t="shared" si="144"/>
        <v>52.16</v>
      </c>
      <c r="BT50" s="21">
        <f t="shared" si="145"/>
        <v>53.9</v>
      </c>
      <c r="BU50" s="21">
        <f t="shared" si="146"/>
        <v>53.9</v>
      </c>
      <c r="BV50" s="21">
        <f t="shared" si="147"/>
        <v>52.16</v>
      </c>
      <c r="BW50" s="21">
        <f t="shared" si="148"/>
        <v>53.9</v>
      </c>
      <c r="BX50" s="21">
        <f t="shared" si="149"/>
        <v>52.16</v>
      </c>
      <c r="BY50" s="21">
        <f t="shared" si="150"/>
        <v>53.9</v>
      </c>
      <c r="BZ50" s="21">
        <f t="shared" si="151"/>
        <v>634.61999999999978</v>
      </c>
      <c r="CA50" s="21">
        <f t="shared" si="152"/>
        <v>655.48</v>
      </c>
      <c r="CB50" s="21">
        <f t="shared" si="153"/>
        <v>53.9</v>
      </c>
      <c r="CC50" s="21">
        <f t="shared" si="154"/>
        <v>50.42</v>
      </c>
      <c r="CD50" s="21">
        <f t="shared" si="155"/>
        <v>53.9</v>
      </c>
      <c r="CE50" s="21">
        <f t="shared" si="156"/>
        <v>52.16</v>
      </c>
      <c r="CF50" s="21">
        <f t="shared" si="157"/>
        <v>53.9</v>
      </c>
      <c r="CG50" s="21">
        <f t="shared" si="158"/>
        <v>52.16</v>
      </c>
      <c r="CH50" s="21">
        <f t="shared" si="159"/>
        <v>53.9</v>
      </c>
      <c r="CI50" s="21">
        <f t="shared" si="160"/>
        <v>53.9</v>
      </c>
      <c r="CJ50" s="21">
        <f t="shared" si="161"/>
        <v>52.16</v>
      </c>
      <c r="CK50" s="21">
        <f t="shared" si="162"/>
        <v>53.9</v>
      </c>
      <c r="CL50" s="21">
        <f t="shared" si="163"/>
        <v>52.16</v>
      </c>
      <c r="CM50" s="21">
        <f t="shared" si="164"/>
        <v>53.9</v>
      </c>
      <c r="CN50" s="21">
        <f t="shared" si="165"/>
        <v>636.35999999999979</v>
      </c>
      <c r="CO50" s="26">
        <f t="shared" si="166"/>
        <v>1291.8399999999999</v>
      </c>
      <c r="CP50" s="21">
        <f t="shared" si="167"/>
        <v>53.9</v>
      </c>
      <c r="CQ50" s="21">
        <f t="shared" si="168"/>
        <v>48.68</v>
      </c>
      <c r="CR50" s="21">
        <f t="shared" si="169"/>
        <v>53.9</v>
      </c>
      <c r="CS50" s="21">
        <f t="shared" si="170"/>
        <v>52.16</v>
      </c>
      <c r="CT50" s="27">
        <f t="shared" si="171"/>
        <v>53.9</v>
      </c>
      <c r="CU50" s="21">
        <f t="shared" si="172"/>
        <v>52.16</v>
      </c>
      <c r="CV50" s="21">
        <f t="shared" si="173"/>
        <v>53.9</v>
      </c>
      <c r="CW50" s="21">
        <f t="shared" si="174"/>
        <v>53.9</v>
      </c>
      <c r="CX50" s="21">
        <f t="shared" si="175"/>
        <v>52.16</v>
      </c>
      <c r="CY50" s="21">
        <f t="shared" si="176"/>
        <v>53.9</v>
      </c>
      <c r="CZ50" s="21">
        <f t="shared" si="177"/>
        <v>52.16</v>
      </c>
      <c r="DA50" s="21">
        <f t="shared" si="178"/>
        <v>53.9</v>
      </c>
      <c r="DB50" s="26">
        <f t="shared" si="190"/>
        <v>634.61999999999978</v>
      </c>
      <c r="DC50" s="26">
        <f t="shared" si="180"/>
        <v>1926.46</v>
      </c>
      <c r="DD50" s="21">
        <f t="shared" si="181"/>
        <v>53.9</v>
      </c>
      <c r="DE50" s="21">
        <f t="shared" si="183"/>
        <v>48.68</v>
      </c>
      <c r="DF50" s="21">
        <f t="shared" si="187"/>
        <v>53.9</v>
      </c>
      <c r="DG50" s="21">
        <f t="shared" si="184"/>
        <v>52.16</v>
      </c>
      <c r="DH50" s="21">
        <f t="shared" si="185"/>
        <v>53.9</v>
      </c>
      <c r="DI50" s="21">
        <f t="shared" si="189"/>
        <v>52.16</v>
      </c>
      <c r="DJ50" s="26"/>
      <c r="DK50" s="26"/>
      <c r="DL50" s="26"/>
      <c r="DM50" s="26"/>
      <c r="DN50" s="26"/>
      <c r="DO50" s="26"/>
      <c r="DP50" s="26">
        <f t="shared" si="186"/>
        <v>314.69999999999993</v>
      </c>
      <c r="DQ50" s="21">
        <f t="shared" si="188"/>
        <v>2241.16</v>
      </c>
      <c r="DR50" s="21">
        <f t="shared" si="182"/>
        <v>1284.54</v>
      </c>
    </row>
    <row r="51" spans="2:123" ht="33">
      <c r="B51" s="35">
        <v>42279</v>
      </c>
      <c r="C51" s="36" t="s">
        <v>114</v>
      </c>
      <c r="D51" s="47" t="s">
        <v>163</v>
      </c>
      <c r="E51" s="36" t="s">
        <v>98</v>
      </c>
      <c r="F51" s="47" t="s">
        <v>164</v>
      </c>
      <c r="G51" s="22">
        <v>1350</v>
      </c>
      <c r="H51" s="21">
        <f t="shared" si="113"/>
        <v>135</v>
      </c>
      <c r="I51" s="21">
        <f t="shared" si="114"/>
        <v>1215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21"/>
      <c r="AZ51" s="48"/>
      <c r="BA51" s="48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>
        <f>ROUND((I51/5/365*29),2)</f>
        <v>19.309999999999999</v>
      </c>
      <c r="BX51" s="21">
        <f t="shared" si="149"/>
        <v>19.97</v>
      </c>
      <c r="BY51" s="21">
        <f t="shared" si="150"/>
        <v>20.64</v>
      </c>
      <c r="BZ51" s="21">
        <f t="shared" si="151"/>
        <v>59.92</v>
      </c>
      <c r="CA51" s="21">
        <f t="shared" si="152"/>
        <v>59.92</v>
      </c>
      <c r="CB51" s="21">
        <f t="shared" si="153"/>
        <v>20.64</v>
      </c>
      <c r="CC51" s="21">
        <f t="shared" si="154"/>
        <v>19.309999999999999</v>
      </c>
      <c r="CD51" s="21">
        <f t="shared" si="155"/>
        <v>20.64</v>
      </c>
      <c r="CE51" s="21">
        <f t="shared" si="156"/>
        <v>19.97</v>
      </c>
      <c r="CF51" s="21">
        <f t="shared" si="157"/>
        <v>20.64</v>
      </c>
      <c r="CG51" s="21">
        <f t="shared" si="158"/>
        <v>19.97</v>
      </c>
      <c r="CH51" s="21">
        <f t="shared" si="159"/>
        <v>20.64</v>
      </c>
      <c r="CI51" s="21">
        <f t="shared" si="160"/>
        <v>20.64</v>
      </c>
      <c r="CJ51" s="21">
        <f t="shared" si="161"/>
        <v>19.97</v>
      </c>
      <c r="CK51" s="21">
        <f t="shared" si="162"/>
        <v>20.64</v>
      </c>
      <c r="CL51" s="21">
        <f t="shared" si="163"/>
        <v>19.97</v>
      </c>
      <c r="CM51" s="21">
        <f t="shared" si="164"/>
        <v>20.64</v>
      </c>
      <c r="CN51" s="21">
        <f t="shared" si="165"/>
        <v>243.67000000000002</v>
      </c>
      <c r="CO51" s="26">
        <f t="shared" si="166"/>
        <v>303.58999999999997</v>
      </c>
      <c r="CP51" s="21">
        <f t="shared" si="167"/>
        <v>20.64</v>
      </c>
      <c r="CQ51" s="21">
        <f t="shared" si="168"/>
        <v>18.64</v>
      </c>
      <c r="CR51" s="21">
        <f t="shared" si="169"/>
        <v>20.64</v>
      </c>
      <c r="CS51" s="21">
        <f t="shared" si="170"/>
        <v>19.97</v>
      </c>
      <c r="CT51" s="27">
        <f t="shared" si="171"/>
        <v>20.64</v>
      </c>
      <c r="CU51" s="21">
        <f t="shared" si="172"/>
        <v>19.97</v>
      </c>
      <c r="CV51" s="21">
        <f t="shared" si="173"/>
        <v>20.64</v>
      </c>
      <c r="CW51" s="21">
        <f t="shared" si="174"/>
        <v>20.64</v>
      </c>
      <c r="CX51" s="21">
        <f t="shared" si="175"/>
        <v>19.97</v>
      </c>
      <c r="CY51" s="21">
        <f t="shared" si="176"/>
        <v>20.64</v>
      </c>
      <c r="CZ51" s="21">
        <f t="shared" si="177"/>
        <v>19.97</v>
      </c>
      <c r="DA51" s="21">
        <f t="shared" si="178"/>
        <v>20.64</v>
      </c>
      <c r="DB51" s="26">
        <f t="shared" si="190"/>
        <v>243</v>
      </c>
      <c r="DC51" s="26">
        <f t="shared" si="180"/>
        <v>546.59</v>
      </c>
      <c r="DD51" s="21">
        <f t="shared" si="181"/>
        <v>20.64</v>
      </c>
      <c r="DE51" s="21">
        <f t="shared" si="183"/>
        <v>18.64</v>
      </c>
      <c r="DF51" s="21">
        <f t="shared" si="187"/>
        <v>20.64</v>
      </c>
      <c r="DG51" s="21">
        <f t="shared" si="184"/>
        <v>19.97</v>
      </c>
      <c r="DH51" s="21">
        <f t="shared" si="185"/>
        <v>20.64</v>
      </c>
      <c r="DI51" s="21">
        <f t="shared" si="189"/>
        <v>19.97</v>
      </c>
      <c r="DJ51" s="26"/>
      <c r="DK51" s="26"/>
      <c r="DL51" s="26"/>
      <c r="DM51" s="26"/>
      <c r="DN51" s="26"/>
      <c r="DO51" s="26"/>
      <c r="DP51" s="26">
        <f t="shared" si="186"/>
        <v>120.5</v>
      </c>
      <c r="DQ51" s="21">
        <f t="shared" si="188"/>
        <v>667.09</v>
      </c>
      <c r="DR51" s="21">
        <f t="shared" si="182"/>
        <v>682.91</v>
      </c>
    </row>
    <row r="52" spans="2:123" ht="123.75">
      <c r="B52" s="35">
        <v>42326</v>
      </c>
      <c r="C52" s="47" t="s">
        <v>165</v>
      </c>
      <c r="D52" s="47" t="s">
        <v>166</v>
      </c>
      <c r="E52" s="47" t="s">
        <v>133</v>
      </c>
      <c r="F52" s="47" t="s">
        <v>167</v>
      </c>
      <c r="G52" s="22">
        <v>3500</v>
      </c>
      <c r="H52" s="21">
        <f t="shared" si="113"/>
        <v>350</v>
      </c>
      <c r="I52" s="21">
        <f t="shared" si="114"/>
        <v>3150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21"/>
      <c r="AZ52" s="48"/>
      <c r="BA52" s="48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>
        <f>ROUND((I52/5/365*12),2)</f>
        <v>20.71</v>
      </c>
      <c r="BY52" s="21">
        <f t="shared" si="150"/>
        <v>53.51</v>
      </c>
      <c r="BZ52" s="21">
        <f t="shared" si="151"/>
        <v>74.22</v>
      </c>
      <c r="CA52" s="21">
        <f t="shared" si="152"/>
        <v>74.22</v>
      </c>
      <c r="CB52" s="21">
        <f t="shared" si="153"/>
        <v>53.51</v>
      </c>
      <c r="CC52" s="21">
        <f t="shared" si="154"/>
        <v>50.05</v>
      </c>
      <c r="CD52" s="21">
        <f t="shared" si="155"/>
        <v>53.51</v>
      </c>
      <c r="CE52" s="21">
        <f t="shared" si="156"/>
        <v>51.78</v>
      </c>
      <c r="CF52" s="21">
        <f t="shared" si="157"/>
        <v>53.51</v>
      </c>
      <c r="CG52" s="21">
        <f t="shared" si="158"/>
        <v>51.78</v>
      </c>
      <c r="CH52" s="21">
        <f t="shared" si="159"/>
        <v>53.51</v>
      </c>
      <c r="CI52" s="21">
        <f t="shared" si="160"/>
        <v>53.51</v>
      </c>
      <c r="CJ52" s="21">
        <f t="shared" si="161"/>
        <v>51.78</v>
      </c>
      <c r="CK52" s="21">
        <f t="shared" si="162"/>
        <v>53.51</v>
      </c>
      <c r="CL52" s="21">
        <f t="shared" si="163"/>
        <v>51.78</v>
      </c>
      <c r="CM52" s="21">
        <f t="shared" si="164"/>
        <v>53.51</v>
      </c>
      <c r="CN52" s="21">
        <f t="shared" si="165"/>
        <v>631.7399999999999</v>
      </c>
      <c r="CO52" s="26">
        <f t="shared" si="166"/>
        <v>705.96</v>
      </c>
      <c r="CP52" s="21">
        <f t="shared" si="167"/>
        <v>53.51</v>
      </c>
      <c r="CQ52" s="21">
        <f t="shared" si="168"/>
        <v>48.33</v>
      </c>
      <c r="CR52" s="21">
        <f t="shared" si="169"/>
        <v>53.51</v>
      </c>
      <c r="CS52" s="21">
        <f t="shared" si="170"/>
        <v>51.78</v>
      </c>
      <c r="CT52" s="27">
        <f t="shared" si="171"/>
        <v>53.51</v>
      </c>
      <c r="CU52" s="21">
        <f t="shared" si="172"/>
        <v>51.78</v>
      </c>
      <c r="CV52" s="21">
        <f t="shared" si="173"/>
        <v>53.51</v>
      </c>
      <c r="CW52" s="21">
        <f t="shared" si="174"/>
        <v>53.51</v>
      </c>
      <c r="CX52" s="21">
        <f t="shared" si="175"/>
        <v>51.78</v>
      </c>
      <c r="CY52" s="21">
        <f t="shared" si="176"/>
        <v>53.51</v>
      </c>
      <c r="CZ52" s="21">
        <f t="shared" si="177"/>
        <v>51.78</v>
      </c>
      <c r="DA52" s="21">
        <f t="shared" si="178"/>
        <v>53.51</v>
      </c>
      <c r="DB52" s="26">
        <f t="shared" si="190"/>
        <v>630.01999999999987</v>
      </c>
      <c r="DC52" s="26">
        <f t="shared" si="180"/>
        <v>1335.98</v>
      </c>
      <c r="DD52" s="21">
        <f t="shared" si="181"/>
        <v>53.51</v>
      </c>
      <c r="DE52" s="21">
        <f t="shared" si="183"/>
        <v>48.33</v>
      </c>
      <c r="DF52" s="21">
        <f t="shared" si="187"/>
        <v>53.51</v>
      </c>
      <c r="DG52" s="21">
        <f t="shared" si="184"/>
        <v>51.78</v>
      </c>
      <c r="DH52" s="21">
        <f t="shared" si="185"/>
        <v>53.51</v>
      </c>
      <c r="DI52" s="21">
        <f t="shared" si="189"/>
        <v>51.78</v>
      </c>
      <c r="DJ52" s="26"/>
      <c r="DK52" s="26"/>
      <c r="DL52" s="26"/>
      <c r="DM52" s="26"/>
      <c r="DN52" s="26"/>
      <c r="DO52" s="26"/>
      <c r="DP52" s="26">
        <f t="shared" si="186"/>
        <v>312.41999999999996</v>
      </c>
      <c r="DQ52" s="21">
        <f t="shared" si="188"/>
        <v>1648.4</v>
      </c>
      <c r="DR52" s="21">
        <f t="shared" si="182"/>
        <v>1851.6</v>
      </c>
    </row>
    <row r="53" spans="2:123" ht="16.5">
      <c r="B53" s="35">
        <v>42318</v>
      </c>
      <c r="C53" s="47" t="s">
        <v>168</v>
      </c>
      <c r="D53" s="47" t="s">
        <v>169</v>
      </c>
      <c r="E53" s="47" t="s">
        <v>133</v>
      </c>
      <c r="F53" s="47" t="s">
        <v>170</v>
      </c>
      <c r="G53" s="22">
        <v>779.7</v>
      </c>
      <c r="H53" s="21">
        <f t="shared" si="113"/>
        <v>77.970000000000013</v>
      </c>
      <c r="I53" s="21">
        <f t="shared" si="114"/>
        <v>701.73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21"/>
      <c r="AZ53" s="48"/>
      <c r="BA53" s="48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>
        <f>ROUND((I53/5/365*20),2)</f>
        <v>7.69</v>
      </c>
      <c r="BY53" s="21">
        <f t="shared" si="150"/>
        <v>11.92</v>
      </c>
      <c r="BZ53" s="21">
        <f t="shared" si="151"/>
        <v>19.61</v>
      </c>
      <c r="CA53" s="21">
        <f t="shared" si="152"/>
        <v>19.61</v>
      </c>
      <c r="CB53" s="21">
        <f t="shared" si="153"/>
        <v>11.92</v>
      </c>
      <c r="CC53" s="21">
        <f t="shared" si="154"/>
        <v>11.15</v>
      </c>
      <c r="CD53" s="21">
        <f t="shared" si="155"/>
        <v>11.92</v>
      </c>
      <c r="CE53" s="21">
        <f t="shared" si="156"/>
        <v>11.54</v>
      </c>
      <c r="CF53" s="21">
        <f t="shared" si="157"/>
        <v>11.92</v>
      </c>
      <c r="CG53" s="21">
        <f t="shared" si="158"/>
        <v>11.54</v>
      </c>
      <c r="CH53" s="21">
        <f t="shared" si="159"/>
        <v>11.92</v>
      </c>
      <c r="CI53" s="21">
        <f t="shared" si="160"/>
        <v>11.92</v>
      </c>
      <c r="CJ53" s="21">
        <f t="shared" si="161"/>
        <v>11.54</v>
      </c>
      <c r="CK53" s="21">
        <f t="shared" si="162"/>
        <v>11.92</v>
      </c>
      <c r="CL53" s="21">
        <f t="shared" si="163"/>
        <v>11.54</v>
      </c>
      <c r="CM53" s="21">
        <f t="shared" si="164"/>
        <v>11.92</v>
      </c>
      <c r="CN53" s="21">
        <f t="shared" si="165"/>
        <v>140.75</v>
      </c>
      <c r="CO53" s="26">
        <f t="shared" si="166"/>
        <v>160.36000000000001</v>
      </c>
      <c r="CP53" s="21">
        <f t="shared" si="167"/>
        <v>11.92</v>
      </c>
      <c r="CQ53" s="21">
        <f t="shared" si="168"/>
        <v>10.77</v>
      </c>
      <c r="CR53" s="21">
        <f t="shared" si="169"/>
        <v>11.92</v>
      </c>
      <c r="CS53" s="21">
        <f t="shared" si="170"/>
        <v>11.54</v>
      </c>
      <c r="CT53" s="27">
        <f t="shared" si="171"/>
        <v>11.92</v>
      </c>
      <c r="CU53" s="21">
        <f t="shared" si="172"/>
        <v>11.54</v>
      </c>
      <c r="CV53" s="21">
        <f t="shared" si="173"/>
        <v>11.92</v>
      </c>
      <c r="CW53" s="21">
        <f t="shared" si="174"/>
        <v>11.92</v>
      </c>
      <c r="CX53" s="21">
        <f t="shared" si="175"/>
        <v>11.54</v>
      </c>
      <c r="CY53" s="21">
        <f t="shared" si="176"/>
        <v>11.92</v>
      </c>
      <c r="CZ53" s="21">
        <f t="shared" si="177"/>
        <v>11.54</v>
      </c>
      <c r="DA53" s="21">
        <f t="shared" si="178"/>
        <v>11.92</v>
      </c>
      <c r="DB53" s="26">
        <f t="shared" si="190"/>
        <v>140.37</v>
      </c>
      <c r="DC53" s="26">
        <f t="shared" si="180"/>
        <v>300.73</v>
      </c>
      <c r="DD53" s="21">
        <f t="shared" si="181"/>
        <v>11.92</v>
      </c>
      <c r="DE53" s="21">
        <f t="shared" si="183"/>
        <v>10.77</v>
      </c>
      <c r="DF53" s="21">
        <f t="shared" si="187"/>
        <v>11.92</v>
      </c>
      <c r="DG53" s="21">
        <f t="shared" si="184"/>
        <v>11.54</v>
      </c>
      <c r="DH53" s="21">
        <f t="shared" si="185"/>
        <v>11.92</v>
      </c>
      <c r="DI53" s="21">
        <f t="shared" si="189"/>
        <v>11.54</v>
      </c>
      <c r="DJ53" s="26"/>
      <c r="DK53" s="26"/>
      <c r="DL53" s="26"/>
      <c r="DM53" s="26"/>
      <c r="DN53" s="26"/>
      <c r="DO53" s="26"/>
      <c r="DP53" s="26">
        <f t="shared" si="186"/>
        <v>69.61</v>
      </c>
      <c r="DQ53" s="21">
        <f t="shared" si="188"/>
        <v>370.34</v>
      </c>
      <c r="DR53" s="21">
        <f t="shared" si="182"/>
        <v>409.36000000000007</v>
      </c>
    </row>
    <row r="54" spans="2:123" ht="41.25">
      <c r="B54" s="35">
        <v>42517</v>
      </c>
      <c r="C54" s="36" t="s">
        <v>157</v>
      </c>
      <c r="D54" s="50" t="s">
        <v>171</v>
      </c>
      <c r="E54" s="36" t="s">
        <v>159</v>
      </c>
      <c r="F54" s="51" t="s">
        <v>172</v>
      </c>
      <c r="G54" s="40">
        <v>3349.42</v>
      </c>
      <c r="H54" s="21">
        <f t="shared" si="113"/>
        <v>334.94200000000001</v>
      </c>
      <c r="I54" s="21">
        <f t="shared" si="114"/>
        <v>3014.4780000000001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21"/>
      <c r="AZ54" s="48"/>
      <c r="BA54" s="48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>
        <f t="shared" ref="CF54:CF60" si="191">ROUND((I54/5/365*4),2)</f>
        <v>6.61</v>
      </c>
      <c r="CG54" s="21">
        <f t="shared" si="158"/>
        <v>49.55</v>
      </c>
      <c r="CH54" s="21">
        <f t="shared" si="159"/>
        <v>51.2</v>
      </c>
      <c r="CI54" s="21">
        <f t="shared" si="160"/>
        <v>51.2</v>
      </c>
      <c r="CJ54" s="21">
        <f t="shared" si="161"/>
        <v>49.55</v>
      </c>
      <c r="CK54" s="21">
        <f t="shared" si="162"/>
        <v>51.2</v>
      </c>
      <c r="CL54" s="21">
        <f t="shared" si="163"/>
        <v>49.55</v>
      </c>
      <c r="CM54" s="21">
        <f t="shared" si="164"/>
        <v>51.2</v>
      </c>
      <c r="CN54" s="21">
        <f t="shared" si="165"/>
        <v>360.06</v>
      </c>
      <c r="CO54" s="26">
        <f t="shared" si="166"/>
        <v>360.06</v>
      </c>
      <c r="CP54" s="21">
        <f t="shared" si="167"/>
        <v>51.2</v>
      </c>
      <c r="CQ54" s="21">
        <f t="shared" si="168"/>
        <v>46.25</v>
      </c>
      <c r="CR54" s="21">
        <f t="shared" si="169"/>
        <v>51.2</v>
      </c>
      <c r="CS54" s="21">
        <f t="shared" si="170"/>
        <v>49.55</v>
      </c>
      <c r="CT54" s="27">
        <f t="shared" si="171"/>
        <v>51.2</v>
      </c>
      <c r="CU54" s="21">
        <f t="shared" si="172"/>
        <v>49.55</v>
      </c>
      <c r="CV54" s="21">
        <f t="shared" si="173"/>
        <v>51.2</v>
      </c>
      <c r="CW54" s="21">
        <f t="shared" si="174"/>
        <v>51.2</v>
      </c>
      <c r="CX54" s="21">
        <f t="shared" si="175"/>
        <v>49.55</v>
      </c>
      <c r="CY54" s="21">
        <f t="shared" si="176"/>
        <v>51.2</v>
      </c>
      <c r="CZ54" s="21">
        <f t="shared" si="177"/>
        <v>49.55</v>
      </c>
      <c r="DA54" s="21">
        <f t="shared" si="178"/>
        <v>51.2</v>
      </c>
      <c r="DB54" s="26">
        <f t="shared" si="190"/>
        <v>602.85</v>
      </c>
      <c r="DC54" s="26">
        <f t="shared" si="180"/>
        <v>962.91</v>
      </c>
      <c r="DD54" s="21">
        <f t="shared" si="181"/>
        <v>51.2</v>
      </c>
      <c r="DE54" s="21">
        <f t="shared" si="183"/>
        <v>46.25</v>
      </c>
      <c r="DF54" s="21">
        <f t="shared" si="187"/>
        <v>51.2</v>
      </c>
      <c r="DG54" s="21">
        <f t="shared" si="184"/>
        <v>49.55</v>
      </c>
      <c r="DH54" s="21">
        <f t="shared" si="185"/>
        <v>51.2</v>
      </c>
      <c r="DI54" s="21">
        <f t="shared" si="189"/>
        <v>49.55</v>
      </c>
      <c r="DJ54" s="26"/>
      <c r="DK54" s="26"/>
      <c r="DL54" s="26"/>
      <c r="DM54" s="26"/>
      <c r="DN54" s="26"/>
      <c r="DO54" s="26"/>
      <c r="DP54" s="26">
        <f t="shared" si="186"/>
        <v>298.95</v>
      </c>
      <c r="DQ54" s="21">
        <f t="shared" si="188"/>
        <v>1261.8599999999999</v>
      </c>
      <c r="DR54" s="21">
        <f t="shared" si="182"/>
        <v>2087.5600000000004</v>
      </c>
    </row>
    <row r="55" spans="2:123" ht="41.25">
      <c r="B55" s="35">
        <v>42517</v>
      </c>
      <c r="C55" s="36" t="s">
        <v>157</v>
      </c>
      <c r="D55" s="50" t="s">
        <v>171</v>
      </c>
      <c r="E55" s="36" t="s">
        <v>159</v>
      </c>
      <c r="F55" s="51" t="s">
        <v>173</v>
      </c>
      <c r="G55" s="40">
        <v>3349.42</v>
      </c>
      <c r="H55" s="21">
        <f t="shared" si="113"/>
        <v>334.94200000000001</v>
      </c>
      <c r="I55" s="21">
        <f t="shared" si="114"/>
        <v>3014.4780000000001</v>
      </c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21"/>
      <c r="AZ55" s="48"/>
      <c r="BA55" s="48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>
        <f t="shared" si="191"/>
        <v>6.61</v>
      </c>
      <c r="CG55" s="21">
        <f t="shared" si="158"/>
        <v>49.55</v>
      </c>
      <c r="CH55" s="21">
        <f t="shared" si="159"/>
        <v>51.2</v>
      </c>
      <c r="CI55" s="21">
        <f t="shared" si="160"/>
        <v>51.2</v>
      </c>
      <c r="CJ55" s="21">
        <f t="shared" si="161"/>
        <v>49.55</v>
      </c>
      <c r="CK55" s="21">
        <f t="shared" si="162"/>
        <v>51.2</v>
      </c>
      <c r="CL55" s="21">
        <f t="shared" si="163"/>
        <v>49.55</v>
      </c>
      <c r="CM55" s="21">
        <f t="shared" si="164"/>
        <v>51.2</v>
      </c>
      <c r="CN55" s="21">
        <f t="shared" si="165"/>
        <v>360.06</v>
      </c>
      <c r="CO55" s="26">
        <f t="shared" si="166"/>
        <v>360.06</v>
      </c>
      <c r="CP55" s="21">
        <f t="shared" si="167"/>
        <v>51.2</v>
      </c>
      <c r="CQ55" s="21">
        <f t="shared" si="168"/>
        <v>46.25</v>
      </c>
      <c r="CR55" s="21">
        <f t="shared" si="169"/>
        <v>51.2</v>
      </c>
      <c r="CS55" s="21">
        <f t="shared" si="170"/>
        <v>49.55</v>
      </c>
      <c r="CT55" s="27">
        <f t="shared" si="171"/>
        <v>51.2</v>
      </c>
      <c r="CU55" s="21">
        <f t="shared" si="172"/>
        <v>49.55</v>
      </c>
      <c r="CV55" s="21">
        <f t="shared" si="173"/>
        <v>51.2</v>
      </c>
      <c r="CW55" s="21">
        <f t="shared" si="174"/>
        <v>51.2</v>
      </c>
      <c r="CX55" s="21">
        <f t="shared" si="175"/>
        <v>49.55</v>
      </c>
      <c r="CY55" s="21">
        <f t="shared" si="176"/>
        <v>51.2</v>
      </c>
      <c r="CZ55" s="21">
        <f t="shared" si="177"/>
        <v>49.55</v>
      </c>
      <c r="DA55" s="21">
        <f t="shared" si="178"/>
        <v>51.2</v>
      </c>
      <c r="DB55" s="26">
        <f t="shared" si="190"/>
        <v>602.85</v>
      </c>
      <c r="DC55" s="26">
        <f t="shared" si="180"/>
        <v>962.91</v>
      </c>
      <c r="DD55" s="21">
        <f t="shared" si="181"/>
        <v>51.2</v>
      </c>
      <c r="DE55" s="21">
        <f t="shared" si="183"/>
        <v>46.25</v>
      </c>
      <c r="DF55" s="21">
        <f t="shared" si="187"/>
        <v>51.2</v>
      </c>
      <c r="DG55" s="21">
        <f t="shared" si="184"/>
        <v>49.55</v>
      </c>
      <c r="DH55" s="21">
        <f t="shared" si="185"/>
        <v>51.2</v>
      </c>
      <c r="DI55" s="21">
        <f t="shared" si="189"/>
        <v>49.55</v>
      </c>
      <c r="DJ55" s="26"/>
      <c r="DK55" s="26"/>
      <c r="DL55" s="26"/>
      <c r="DM55" s="26"/>
      <c r="DN55" s="26"/>
      <c r="DO55" s="26"/>
      <c r="DP55" s="26">
        <f t="shared" si="186"/>
        <v>298.95</v>
      </c>
      <c r="DQ55" s="21">
        <f t="shared" si="188"/>
        <v>1261.8599999999999</v>
      </c>
      <c r="DR55" s="21">
        <f t="shared" si="182"/>
        <v>2087.5600000000004</v>
      </c>
    </row>
    <row r="56" spans="2:123" ht="41.25">
      <c r="B56" s="35">
        <v>42517</v>
      </c>
      <c r="C56" s="36" t="s">
        <v>157</v>
      </c>
      <c r="D56" s="50" t="s">
        <v>174</v>
      </c>
      <c r="E56" s="36" t="s">
        <v>175</v>
      </c>
      <c r="F56" s="51" t="s">
        <v>176</v>
      </c>
      <c r="G56" s="40">
        <v>3698.1</v>
      </c>
      <c r="H56" s="21">
        <f t="shared" si="113"/>
        <v>369.81</v>
      </c>
      <c r="I56" s="21">
        <f t="shared" si="114"/>
        <v>3328.29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21"/>
      <c r="AZ56" s="48"/>
      <c r="BA56" s="48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>
        <f t="shared" si="191"/>
        <v>7.29</v>
      </c>
      <c r="CG56" s="21">
        <f t="shared" si="158"/>
        <v>54.71</v>
      </c>
      <c r="CH56" s="21">
        <f t="shared" si="159"/>
        <v>56.54</v>
      </c>
      <c r="CI56" s="21">
        <f t="shared" si="160"/>
        <v>56.54</v>
      </c>
      <c r="CJ56" s="21">
        <f t="shared" si="161"/>
        <v>54.71</v>
      </c>
      <c r="CK56" s="21">
        <f t="shared" si="162"/>
        <v>56.54</v>
      </c>
      <c r="CL56" s="21">
        <f t="shared" si="163"/>
        <v>54.71</v>
      </c>
      <c r="CM56" s="21">
        <f t="shared" si="164"/>
        <v>56.54</v>
      </c>
      <c r="CN56" s="21">
        <f t="shared" si="165"/>
        <v>397.58</v>
      </c>
      <c r="CO56" s="26">
        <f t="shared" si="166"/>
        <v>397.58</v>
      </c>
      <c r="CP56" s="21">
        <f t="shared" si="167"/>
        <v>56.54</v>
      </c>
      <c r="CQ56" s="21">
        <f t="shared" si="168"/>
        <v>51.06</v>
      </c>
      <c r="CR56" s="21">
        <f t="shared" si="169"/>
        <v>56.54</v>
      </c>
      <c r="CS56" s="21">
        <f t="shared" si="170"/>
        <v>54.71</v>
      </c>
      <c r="CT56" s="27">
        <f t="shared" si="171"/>
        <v>56.54</v>
      </c>
      <c r="CU56" s="21">
        <f t="shared" si="172"/>
        <v>54.71</v>
      </c>
      <c r="CV56" s="21">
        <f t="shared" si="173"/>
        <v>56.54</v>
      </c>
      <c r="CW56" s="21">
        <f t="shared" si="174"/>
        <v>56.54</v>
      </c>
      <c r="CX56" s="21">
        <f t="shared" si="175"/>
        <v>54.71</v>
      </c>
      <c r="CY56" s="21">
        <f t="shared" si="176"/>
        <v>56.54</v>
      </c>
      <c r="CZ56" s="21">
        <f t="shared" si="177"/>
        <v>54.71</v>
      </c>
      <c r="DA56" s="21">
        <f t="shared" si="178"/>
        <v>56.54</v>
      </c>
      <c r="DB56" s="26">
        <f t="shared" si="190"/>
        <v>665.68</v>
      </c>
      <c r="DC56" s="26">
        <f t="shared" si="180"/>
        <v>1063.26</v>
      </c>
      <c r="DD56" s="21">
        <f t="shared" si="181"/>
        <v>56.54</v>
      </c>
      <c r="DE56" s="21">
        <f t="shared" si="183"/>
        <v>51.06</v>
      </c>
      <c r="DF56" s="21">
        <f t="shared" si="187"/>
        <v>56.54</v>
      </c>
      <c r="DG56" s="21">
        <f t="shared" si="184"/>
        <v>54.71</v>
      </c>
      <c r="DH56" s="21">
        <f t="shared" si="185"/>
        <v>56.54</v>
      </c>
      <c r="DI56" s="21">
        <f t="shared" si="189"/>
        <v>54.71</v>
      </c>
      <c r="DJ56" s="26"/>
      <c r="DK56" s="26"/>
      <c r="DL56" s="26"/>
      <c r="DM56" s="26"/>
      <c r="DN56" s="26"/>
      <c r="DO56" s="26"/>
      <c r="DP56" s="26">
        <f t="shared" si="186"/>
        <v>330.09999999999997</v>
      </c>
      <c r="DQ56" s="21">
        <f t="shared" si="188"/>
        <v>1393.36</v>
      </c>
      <c r="DR56" s="21">
        <f t="shared" si="182"/>
        <v>2304.7399999999998</v>
      </c>
    </row>
    <row r="57" spans="2:123" ht="41.25">
      <c r="B57" s="35">
        <v>42517</v>
      </c>
      <c r="C57" s="36" t="s">
        <v>157</v>
      </c>
      <c r="D57" s="50" t="s">
        <v>174</v>
      </c>
      <c r="E57" s="36" t="s">
        <v>175</v>
      </c>
      <c r="F57" s="51" t="s">
        <v>177</v>
      </c>
      <c r="G57" s="40">
        <v>3698.1</v>
      </c>
      <c r="H57" s="21">
        <f t="shared" si="113"/>
        <v>369.81</v>
      </c>
      <c r="I57" s="21">
        <f t="shared" si="114"/>
        <v>3328.29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21"/>
      <c r="AZ57" s="48"/>
      <c r="BA57" s="48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>
        <f t="shared" si="191"/>
        <v>7.29</v>
      </c>
      <c r="CG57" s="21">
        <f t="shared" si="158"/>
        <v>54.71</v>
      </c>
      <c r="CH57" s="21">
        <f t="shared" si="159"/>
        <v>56.54</v>
      </c>
      <c r="CI57" s="21">
        <f t="shared" si="160"/>
        <v>56.54</v>
      </c>
      <c r="CJ57" s="21">
        <f t="shared" si="161"/>
        <v>54.71</v>
      </c>
      <c r="CK57" s="21">
        <f t="shared" si="162"/>
        <v>56.54</v>
      </c>
      <c r="CL57" s="21">
        <f t="shared" si="163"/>
        <v>54.71</v>
      </c>
      <c r="CM57" s="21">
        <f t="shared" si="164"/>
        <v>56.54</v>
      </c>
      <c r="CN57" s="21">
        <f t="shared" si="165"/>
        <v>397.58</v>
      </c>
      <c r="CO57" s="26">
        <f t="shared" si="166"/>
        <v>397.58</v>
      </c>
      <c r="CP57" s="21">
        <f t="shared" si="167"/>
        <v>56.54</v>
      </c>
      <c r="CQ57" s="21">
        <f t="shared" si="168"/>
        <v>51.06</v>
      </c>
      <c r="CR57" s="21">
        <f t="shared" si="169"/>
        <v>56.54</v>
      </c>
      <c r="CS57" s="21">
        <f t="shared" si="170"/>
        <v>54.71</v>
      </c>
      <c r="CT57" s="27">
        <f t="shared" si="171"/>
        <v>56.54</v>
      </c>
      <c r="CU57" s="21">
        <f t="shared" si="172"/>
        <v>54.71</v>
      </c>
      <c r="CV57" s="21">
        <f t="shared" si="173"/>
        <v>56.54</v>
      </c>
      <c r="CW57" s="21">
        <f t="shared" si="174"/>
        <v>56.54</v>
      </c>
      <c r="CX57" s="21">
        <f t="shared" si="175"/>
        <v>54.71</v>
      </c>
      <c r="CY57" s="21">
        <f t="shared" si="176"/>
        <v>56.54</v>
      </c>
      <c r="CZ57" s="21">
        <f t="shared" si="177"/>
        <v>54.71</v>
      </c>
      <c r="DA57" s="21">
        <f t="shared" si="178"/>
        <v>56.54</v>
      </c>
      <c r="DB57" s="26">
        <f t="shared" si="190"/>
        <v>665.68</v>
      </c>
      <c r="DC57" s="26">
        <f t="shared" si="180"/>
        <v>1063.26</v>
      </c>
      <c r="DD57" s="21">
        <f t="shared" si="181"/>
        <v>56.54</v>
      </c>
      <c r="DE57" s="21">
        <f t="shared" si="183"/>
        <v>51.06</v>
      </c>
      <c r="DF57" s="21">
        <f t="shared" si="187"/>
        <v>56.54</v>
      </c>
      <c r="DG57" s="21">
        <f t="shared" si="184"/>
        <v>54.71</v>
      </c>
      <c r="DH57" s="21">
        <f t="shared" si="185"/>
        <v>56.54</v>
      </c>
      <c r="DI57" s="21">
        <f t="shared" si="189"/>
        <v>54.71</v>
      </c>
      <c r="DJ57" s="26"/>
      <c r="DK57" s="26"/>
      <c r="DL57" s="26"/>
      <c r="DM57" s="26"/>
      <c r="DN57" s="26"/>
      <c r="DO57" s="26"/>
      <c r="DP57" s="26">
        <f t="shared" si="186"/>
        <v>330.09999999999997</v>
      </c>
      <c r="DQ57" s="21">
        <f t="shared" si="188"/>
        <v>1393.36</v>
      </c>
      <c r="DR57" s="21">
        <f t="shared" si="182"/>
        <v>2304.7399999999998</v>
      </c>
    </row>
    <row r="58" spans="2:123" ht="41.25">
      <c r="B58" s="35">
        <v>42517</v>
      </c>
      <c r="C58" s="36" t="s">
        <v>157</v>
      </c>
      <c r="D58" s="50" t="s">
        <v>174</v>
      </c>
      <c r="E58" s="36" t="s">
        <v>175</v>
      </c>
      <c r="F58" s="51" t="s">
        <v>178</v>
      </c>
      <c r="G58" s="40">
        <v>3698.1</v>
      </c>
      <c r="H58" s="21">
        <f t="shared" si="113"/>
        <v>369.81</v>
      </c>
      <c r="I58" s="21">
        <f t="shared" si="114"/>
        <v>3328.29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21"/>
      <c r="AZ58" s="48"/>
      <c r="BA58" s="48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>
        <f t="shared" si="191"/>
        <v>7.29</v>
      </c>
      <c r="CG58" s="21">
        <f t="shared" si="158"/>
        <v>54.71</v>
      </c>
      <c r="CH58" s="21">
        <f t="shared" si="159"/>
        <v>56.54</v>
      </c>
      <c r="CI58" s="21">
        <f t="shared" si="160"/>
        <v>56.54</v>
      </c>
      <c r="CJ58" s="21">
        <f t="shared" si="161"/>
        <v>54.71</v>
      </c>
      <c r="CK58" s="21">
        <f t="shared" si="162"/>
        <v>56.54</v>
      </c>
      <c r="CL58" s="21">
        <f t="shared" si="163"/>
        <v>54.71</v>
      </c>
      <c r="CM58" s="21">
        <f t="shared" si="164"/>
        <v>56.54</v>
      </c>
      <c r="CN58" s="21">
        <f t="shared" si="165"/>
        <v>397.58</v>
      </c>
      <c r="CO58" s="26">
        <f t="shared" si="166"/>
        <v>397.58</v>
      </c>
      <c r="CP58" s="21">
        <f t="shared" si="167"/>
        <v>56.54</v>
      </c>
      <c r="CQ58" s="21">
        <f t="shared" si="168"/>
        <v>51.06</v>
      </c>
      <c r="CR58" s="21">
        <f t="shared" si="169"/>
        <v>56.54</v>
      </c>
      <c r="CS58" s="21">
        <f t="shared" si="170"/>
        <v>54.71</v>
      </c>
      <c r="CT58" s="27">
        <f t="shared" si="171"/>
        <v>56.54</v>
      </c>
      <c r="CU58" s="21">
        <f t="shared" si="172"/>
        <v>54.71</v>
      </c>
      <c r="CV58" s="21">
        <f t="shared" si="173"/>
        <v>56.54</v>
      </c>
      <c r="CW58" s="21">
        <f t="shared" si="174"/>
        <v>56.54</v>
      </c>
      <c r="CX58" s="21">
        <f t="shared" si="175"/>
        <v>54.71</v>
      </c>
      <c r="CY58" s="21">
        <f t="shared" si="176"/>
        <v>56.54</v>
      </c>
      <c r="CZ58" s="21">
        <f t="shared" si="177"/>
        <v>54.71</v>
      </c>
      <c r="DA58" s="21">
        <f t="shared" si="178"/>
        <v>56.54</v>
      </c>
      <c r="DB58" s="26">
        <f t="shared" si="190"/>
        <v>665.68</v>
      </c>
      <c r="DC58" s="26">
        <f t="shared" si="180"/>
        <v>1063.26</v>
      </c>
      <c r="DD58" s="21">
        <f t="shared" si="181"/>
        <v>56.54</v>
      </c>
      <c r="DE58" s="21">
        <f t="shared" si="183"/>
        <v>51.06</v>
      </c>
      <c r="DF58" s="21">
        <f>ROUND((I58/5/365*31),2)</f>
        <v>56.54</v>
      </c>
      <c r="DG58" s="21">
        <f t="shared" si="184"/>
        <v>54.71</v>
      </c>
      <c r="DH58" s="21">
        <f t="shared" si="185"/>
        <v>56.54</v>
      </c>
      <c r="DI58" s="21">
        <f t="shared" si="189"/>
        <v>54.71</v>
      </c>
      <c r="DJ58" s="26"/>
      <c r="DK58" s="26"/>
      <c r="DL58" s="26"/>
      <c r="DM58" s="26"/>
      <c r="DN58" s="26"/>
      <c r="DO58" s="26"/>
      <c r="DP58" s="26">
        <f t="shared" si="186"/>
        <v>330.09999999999997</v>
      </c>
      <c r="DQ58" s="21">
        <f t="shared" si="188"/>
        <v>1393.36</v>
      </c>
      <c r="DR58" s="21">
        <f t="shared" si="182"/>
        <v>2304.7399999999998</v>
      </c>
    </row>
    <row r="59" spans="2:123" ht="41.25">
      <c r="B59" s="35">
        <v>42517</v>
      </c>
      <c r="C59" s="36" t="s">
        <v>157</v>
      </c>
      <c r="D59" s="50" t="s">
        <v>174</v>
      </c>
      <c r="E59" s="36" t="s">
        <v>175</v>
      </c>
      <c r="F59" s="51" t="s">
        <v>179</v>
      </c>
      <c r="G59" s="40">
        <v>3698.1</v>
      </c>
      <c r="H59" s="21">
        <f t="shared" si="113"/>
        <v>369.81</v>
      </c>
      <c r="I59" s="21">
        <f t="shared" si="114"/>
        <v>3328.29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21"/>
      <c r="AZ59" s="48"/>
      <c r="BA59" s="48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>
        <f t="shared" si="191"/>
        <v>7.29</v>
      </c>
      <c r="CG59" s="21">
        <f t="shared" si="158"/>
        <v>54.71</v>
      </c>
      <c r="CH59" s="21">
        <f t="shared" si="159"/>
        <v>56.54</v>
      </c>
      <c r="CI59" s="21">
        <f t="shared" si="160"/>
        <v>56.54</v>
      </c>
      <c r="CJ59" s="21">
        <f t="shared" si="161"/>
        <v>54.71</v>
      </c>
      <c r="CK59" s="21">
        <f t="shared" si="162"/>
        <v>56.54</v>
      </c>
      <c r="CL59" s="21">
        <f t="shared" si="163"/>
        <v>54.71</v>
      </c>
      <c r="CM59" s="21">
        <f t="shared" si="164"/>
        <v>56.54</v>
      </c>
      <c r="CN59" s="21">
        <f t="shared" si="165"/>
        <v>397.58</v>
      </c>
      <c r="CO59" s="26">
        <f t="shared" si="166"/>
        <v>397.58</v>
      </c>
      <c r="CP59" s="21">
        <f t="shared" si="167"/>
        <v>56.54</v>
      </c>
      <c r="CQ59" s="21">
        <f t="shared" si="168"/>
        <v>51.06</v>
      </c>
      <c r="CR59" s="21">
        <f t="shared" si="169"/>
        <v>56.54</v>
      </c>
      <c r="CS59" s="21">
        <f t="shared" si="170"/>
        <v>54.71</v>
      </c>
      <c r="CT59" s="27">
        <f t="shared" si="171"/>
        <v>56.54</v>
      </c>
      <c r="CU59" s="21">
        <f t="shared" si="172"/>
        <v>54.71</v>
      </c>
      <c r="CV59" s="21">
        <f t="shared" si="173"/>
        <v>56.54</v>
      </c>
      <c r="CW59" s="21">
        <f t="shared" si="174"/>
        <v>56.54</v>
      </c>
      <c r="CX59" s="21">
        <f t="shared" si="175"/>
        <v>54.71</v>
      </c>
      <c r="CY59" s="21">
        <f t="shared" si="176"/>
        <v>56.54</v>
      </c>
      <c r="CZ59" s="21">
        <f t="shared" si="177"/>
        <v>54.71</v>
      </c>
      <c r="DA59" s="21">
        <f t="shared" si="178"/>
        <v>56.54</v>
      </c>
      <c r="DB59" s="26">
        <f t="shared" si="190"/>
        <v>665.68</v>
      </c>
      <c r="DC59" s="26">
        <f t="shared" si="180"/>
        <v>1063.26</v>
      </c>
      <c r="DD59" s="21">
        <f t="shared" si="181"/>
        <v>56.54</v>
      </c>
      <c r="DE59" s="21">
        <f t="shared" si="183"/>
        <v>51.06</v>
      </c>
      <c r="DF59" s="21">
        <f>ROUND((I59/5/365*31),2)</f>
        <v>56.54</v>
      </c>
      <c r="DG59" s="21">
        <f t="shared" si="184"/>
        <v>54.71</v>
      </c>
      <c r="DH59" s="21">
        <f t="shared" si="185"/>
        <v>56.54</v>
      </c>
      <c r="DI59" s="21">
        <f t="shared" si="189"/>
        <v>54.71</v>
      </c>
      <c r="DJ59" s="26"/>
      <c r="DK59" s="26"/>
      <c r="DL59" s="26"/>
      <c r="DM59" s="26"/>
      <c r="DN59" s="26"/>
      <c r="DO59" s="26"/>
      <c r="DP59" s="26">
        <f t="shared" si="186"/>
        <v>330.09999999999997</v>
      </c>
      <c r="DQ59" s="21">
        <f t="shared" si="188"/>
        <v>1393.36</v>
      </c>
      <c r="DR59" s="21">
        <f t="shared" si="182"/>
        <v>2304.7399999999998</v>
      </c>
    </row>
    <row r="60" spans="2:123" ht="41.25">
      <c r="B60" s="35">
        <v>42517</v>
      </c>
      <c r="C60" s="36" t="s">
        <v>157</v>
      </c>
      <c r="D60" s="50" t="s">
        <v>174</v>
      </c>
      <c r="E60" s="36" t="s">
        <v>175</v>
      </c>
      <c r="F60" s="51" t="s">
        <v>180</v>
      </c>
      <c r="G60" s="40">
        <v>3698.1</v>
      </c>
      <c r="H60" s="21">
        <f t="shared" si="113"/>
        <v>369.81</v>
      </c>
      <c r="I60" s="21">
        <f t="shared" si="114"/>
        <v>3328.29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21"/>
      <c r="AZ60" s="48"/>
      <c r="BA60" s="48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>
        <f t="shared" si="191"/>
        <v>7.29</v>
      </c>
      <c r="CG60" s="21">
        <f t="shared" si="158"/>
        <v>54.71</v>
      </c>
      <c r="CH60" s="21">
        <f t="shared" si="159"/>
        <v>56.54</v>
      </c>
      <c r="CI60" s="21">
        <f t="shared" si="160"/>
        <v>56.54</v>
      </c>
      <c r="CJ60" s="21">
        <f t="shared" si="161"/>
        <v>54.71</v>
      </c>
      <c r="CK60" s="21">
        <f t="shared" si="162"/>
        <v>56.54</v>
      </c>
      <c r="CL60" s="21">
        <f t="shared" si="163"/>
        <v>54.71</v>
      </c>
      <c r="CM60" s="21">
        <f t="shared" si="164"/>
        <v>56.54</v>
      </c>
      <c r="CN60" s="21">
        <f t="shared" si="165"/>
        <v>397.58</v>
      </c>
      <c r="CO60" s="26">
        <f t="shared" si="166"/>
        <v>397.58</v>
      </c>
      <c r="CP60" s="21">
        <f t="shared" si="167"/>
        <v>56.54</v>
      </c>
      <c r="CQ60" s="21">
        <f t="shared" si="168"/>
        <v>51.06</v>
      </c>
      <c r="CR60" s="21">
        <f t="shared" si="169"/>
        <v>56.54</v>
      </c>
      <c r="CS60" s="21">
        <f t="shared" si="170"/>
        <v>54.71</v>
      </c>
      <c r="CT60" s="27">
        <f t="shared" si="171"/>
        <v>56.54</v>
      </c>
      <c r="CU60" s="21">
        <f t="shared" si="172"/>
        <v>54.71</v>
      </c>
      <c r="CV60" s="21">
        <f t="shared" si="173"/>
        <v>56.54</v>
      </c>
      <c r="CW60" s="21">
        <f t="shared" si="174"/>
        <v>56.54</v>
      </c>
      <c r="CX60" s="21">
        <f t="shared" si="175"/>
        <v>54.71</v>
      </c>
      <c r="CY60" s="21">
        <f t="shared" si="176"/>
        <v>56.54</v>
      </c>
      <c r="CZ60" s="21">
        <f t="shared" si="177"/>
        <v>54.71</v>
      </c>
      <c r="DA60" s="21">
        <f t="shared" si="178"/>
        <v>56.54</v>
      </c>
      <c r="DB60" s="26">
        <f t="shared" si="190"/>
        <v>665.68</v>
      </c>
      <c r="DC60" s="26">
        <f t="shared" si="180"/>
        <v>1063.26</v>
      </c>
      <c r="DD60" s="21">
        <f t="shared" si="181"/>
        <v>56.54</v>
      </c>
      <c r="DE60" s="21">
        <f t="shared" si="183"/>
        <v>51.06</v>
      </c>
      <c r="DF60" s="21">
        <f t="shared" si="187"/>
        <v>56.54</v>
      </c>
      <c r="DG60" s="21">
        <f t="shared" si="184"/>
        <v>54.71</v>
      </c>
      <c r="DH60" s="21">
        <f t="shared" si="185"/>
        <v>56.54</v>
      </c>
      <c r="DI60" s="21">
        <f t="shared" si="189"/>
        <v>54.71</v>
      </c>
      <c r="DJ60" s="26"/>
      <c r="DK60" s="26"/>
      <c r="DL60" s="26"/>
      <c r="DM60" s="26"/>
      <c r="DN60" s="26"/>
      <c r="DO60" s="26"/>
      <c r="DP60" s="26">
        <f t="shared" si="186"/>
        <v>330.09999999999997</v>
      </c>
      <c r="DQ60" s="21">
        <f t="shared" si="188"/>
        <v>1393.36</v>
      </c>
      <c r="DR60" s="21">
        <f t="shared" si="182"/>
        <v>2304.7399999999998</v>
      </c>
    </row>
    <row r="61" spans="2:123" ht="24.75">
      <c r="B61" s="35">
        <v>42576</v>
      </c>
      <c r="C61" s="36" t="s">
        <v>181</v>
      </c>
      <c r="D61" s="50" t="s">
        <v>182</v>
      </c>
      <c r="E61" s="36" t="s">
        <v>183</v>
      </c>
      <c r="F61" s="47" t="s">
        <v>184</v>
      </c>
      <c r="G61" s="40">
        <v>845</v>
      </c>
      <c r="H61" s="21">
        <f t="shared" si="113"/>
        <v>84.5</v>
      </c>
      <c r="I61" s="21">
        <f t="shared" si="114"/>
        <v>760.5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21">
        <v>0</v>
      </c>
      <c r="CI61" s="21">
        <f>ROUND((I61/5/365*37),2)</f>
        <v>15.42</v>
      </c>
      <c r="CJ61" s="21">
        <f t="shared" si="161"/>
        <v>12.5</v>
      </c>
      <c r="CK61" s="21">
        <f t="shared" si="162"/>
        <v>12.92</v>
      </c>
      <c r="CL61" s="21">
        <f t="shared" si="163"/>
        <v>12.5</v>
      </c>
      <c r="CM61" s="21">
        <f t="shared" si="164"/>
        <v>12.92</v>
      </c>
      <c r="CN61" s="21">
        <f t="shared" si="165"/>
        <v>66.260000000000005</v>
      </c>
      <c r="CO61" s="26">
        <f t="shared" si="166"/>
        <v>66.260000000000005</v>
      </c>
      <c r="CP61" s="21">
        <f t="shared" si="167"/>
        <v>12.92</v>
      </c>
      <c r="CQ61" s="21">
        <f t="shared" si="168"/>
        <v>11.67</v>
      </c>
      <c r="CR61" s="21">
        <f t="shared" si="169"/>
        <v>12.92</v>
      </c>
      <c r="CS61" s="21">
        <f t="shared" si="170"/>
        <v>12.5</v>
      </c>
      <c r="CT61" s="27">
        <f t="shared" si="171"/>
        <v>12.92</v>
      </c>
      <c r="CU61" s="21">
        <f t="shared" si="172"/>
        <v>12.5</v>
      </c>
      <c r="CV61" s="21">
        <f t="shared" si="173"/>
        <v>12.92</v>
      </c>
      <c r="CW61" s="21">
        <f t="shared" si="174"/>
        <v>12.92</v>
      </c>
      <c r="CX61" s="21">
        <f t="shared" si="175"/>
        <v>12.5</v>
      </c>
      <c r="CY61" s="21">
        <f t="shared" si="176"/>
        <v>12.92</v>
      </c>
      <c r="CZ61" s="21">
        <f t="shared" si="177"/>
        <v>12.5</v>
      </c>
      <c r="DA61" s="21">
        <f t="shared" si="178"/>
        <v>12.92</v>
      </c>
      <c r="DB61" s="26">
        <f t="shared" si="190"/>
        <v>152.10999999999999</v>
      </c>
      <c r="DC61" s="26">
        <f t="shared" si="180"/>
        <v>218.37</v>
      </c>
      <c r="DD61" s="21">
        <f t="shared" si="181"/>
        <v>12.92</v>
      </c>
      <c r="DE61" s="21">
        <f t="shared" si="183"/>
        <v>11.67</v>
      </c>
      <c r="DF61" s="21">
        <f t="shared" si="187"/>
        <v>12.92</v>
      </c>
      <c r="DG61" s="21">
        <f t="shared" si="184"/>
        <v>12.5</v>
      </c>
      <c r="DH61" s="21">
        <f t="shared" si="185"/>
        <v>12.92</v>
      </c>
      <c r="DI61" s="21">
        <f t="shared" si="189"/>
        <v>12.5</v>
      </c>
      <c r="DJ61" s="26"/>
      <c r="DK61" s="26"/>
      <c r="DL61" s="26"/>
      <c r="DM61" s="26"/>
      <c r="DN61" s="26"/>
      <c r="DO61" s="26"/>
      <c r="DP61" s="26">
        <f t="shared" si="186"/>
        <v>75.430000000000007</v>
      </c>
      <c r="DQ61" s="21">
        <f t="shared" si="188"/>
        <v>293.8</v>
      </c>
      <c r="DR61" s="21">
        <f t="shared" si="182"/>
        <v>551.20000000000005</v>
      </c>
      <c r="DS61" s="52"/>
    </row>
    <row r="62" spans="2:123" ht="24.75">
      <c r="B62" s="35">
        <v>42576</v>
      </c>
      <c r="C62" s="36" t="s">
        <v>181</v>
      </c>
      <c r="D62" s="50" t="s">
        <v>185</v>
      </c>
      <c r="E62" s="36" t="s">
        <v>186</v>
      </c>
      <c r="F62" s="47" t="s">
        <v>187</v>
      </c>
      <c r="G62" s="40">
        <v>750</v>
      </c>
      <c r="H62" s="21">
        <f t="shared" si="113"/>
        <v>75</v>
      </c>
      <c r="I62" s="21">
        <f t="shared" si="114"/>
        <v>675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21">
        <v>0</v>
      </c>
      <c r="CI62" s="21">
        <f>ROUND((I62/5/365*37),2)</f>
        <v>13.68</v>
      </c>
      <c r="CJ62" s="21">
        <f t="shared" si="161"/>
        <v>11.1</v>
      </c>
      <c r="CK62" s="21">
        <f t="shared" si="162"/>
        <v>11.47</v>
      </c>
      <c r="CL62" s="21">
        <f t="shared" si="163"/>
        <v>11.1</v>
      </c>
      <c r="CM62" s="21">
        <f t="shared" si="164"/>
        <v>11.47</v>
      </c>
      <c r="CN62" s="21">
        <f t="shared" si="165"/>
        <v>58.82</v>
      </c>
      <c r="CO62" s="26">
        <f t="shared" si="166"/>
        <v>58.82</v>
      </c>
      <c r="CP62" s="21">
        <f t="shared" si="167"/>
        <v>11.47</v>
      </c>
      <c r="CQ62" s="21">
        <f t="shared" si="168"/>
        <v>10.36</v>
      </c>
      <c r="CR62" s="21">
        <f t="shared" si="169"/>
        <v>11.47</v>
      </c>
      <c r="CS62" s="21">
        <f t="shared" si="170"/>
        <v>11.1</v>
      </c>
      <c r="CT62" s="27">
        <f t="shared" si="171"/>
        <v>11.47</v>
      </c>
      <c r="CU62" s="21">
        <f t="shared" si="172"/>
        <v>11.1</v>
      </c>
      <c r="CV62" s="21">
        <f t="shared" si="173"/>
        <v>11.47</v>
      </c>
      <c r="CW62" s="21">
        <f t="shared" si="174"/>
        <v>11.47</v>
      </c>
      <c r="CX62" s="21">
        <f t="shared" si="175"/>
        <v>11.1</v>
      </c>
      <c r="CY62" s="21">
        <f t="shared" si="176"/>
        <v>11.47</v>
      </c>
      <c r="CZ62" s="21">
        <f t="shared" si="177"/>
        <v>11.1</v>
      </c>
      <c r="DA62" s="21">
        <f t="shared" si="178"/>
        <v>11.47</v>
      </c>
      <c r="DB62" s="26">
        <f t="shared" si="190"/>
        <v>135.04999999999998</v>
      </c>
      <c r="DC62" s="26">
        <f t="shared" si="180"/>
        <v>193.87</v>
      </c>
      <c r="DD62" s="21">
        <f t="shared" si="181"/>
        <v>11.47</v>
      </c>
      <c r="DE62" s="21">
        <f t="shared" si="183"/>
        <v>10.36</v>
      </c>
      <c r="DF62" s="21">
        <f t="shared" si="187"/>
        <v>11.47</v>
      </c>
      <c r="DG62" s="21">
        <f t="shared" si="184"/>
        <v>11.1</v>
      </c>
      <c r="DH62" s="21">
        <f t="shared" si="185"/>
        <v>11.47</v>
      </c>
      <c r="DI62" s="21">
        <f t="shared" si="189"/>
        <v>11.1</v>
      </c>
      <c r="DJ62" s="26"/>
      <c r="DK62" s="26"/>
      <c r="DL62" s="26"/>
      <c r="DM62" s="26"/>
      <c r="DN62" s="26"/>
      <c r="DO62" s="26"/>
      <c r="DP62" s="26">
        <f t="shared" si="186"/>
        <v>66.97</v>
      </c>
      <c r="DQ62" s="21">
        <f t="shared" si="188"/>
        <v>260.83999999999997</v>
      </c>
      <c r="DR62" s="21">
        <f t="shared" si="182"/>
        <v>489.16</v>
      </c>
      <c r="DS62" s="52"/>
    </row>
    <row r="63" spans="2:123" ht="16.5">
      <c r="B63" s="37">
        <v>42600</v>
      </c>
      <c r="C63" s="39" t="s">
        <v>188</v>
      </c>
      <c r="D63" s="39" t="s">
        <v>189</v>
      </c>
      <c r="E63" s="53" t="s">
        <v>133</v>
      </c>
      <c r="F63" s="39" t="s">
        <v>190</v>
      </c>
      <c r="G63" s="54">
        <v>3110</v>
      </c>
      <c r="H63" s="21">
        <f t="shared" si="113"/>
        <v>311</v>
      </c>
      <c r="I63" s="21">
        <f t="shared" si="114"/>
        <v>2799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21"/>
      <c r="AZ63" s="48"/>
      <c r="BA63" s="48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>
        <f>ROUND((I63/5/365*13),2)</f>
        <v>19.940000000000001</v>
      </c>
      <c r="CJ63" s="21">
        <f t="shared" si="161"/>
        <v>46.01</v>
      </c>
      <c r="CK63" s="21">
        <f t="shared" si="162"/>
        <v>47.54</v>
      </c>
      <c r="CL63" s="21">
        <f t="shared" si="163"/>
        <v>46.01</v>
      </c>
      <c r="CM63" s="21">
        <f t="shared" si="164"/>
        <v>47.54</v>
      </c>
      <c r="CN63" s="21">
        <f t="shared" si="165"/>
        <v>207.04</v>
      </c>
      <c r="CO63" s="26">
        <f t="shared" si="166"/>
        <v>207.04</v>
      </c>
      <c r="CP63" s="21">
        <f t="shared" si="167"/>
        <v>47.54</v>
      </c>
      <c r="CQ63" s="21">
        <f t="shared" si="168"/>
        <v>42.94</v>
      </c>
      <c r="CR63" s="21">
        <f t="shared" si="169"/>
        <v>47.54</v>
      </c>
      <c r="CS63" s="21">
        <f t="shared" si="170"/>
        <v>46.01</v>
      </c>
      <c r="CT63" s="27">
        <f t="shared" si="171"/>
        <v>47.54</v>
      </c>
      <c r="CU63" s="21">
        <f t="shared" si="172"/>
        <v>46.01</v>
      </c>
      <c r="CV63" s="21">
        <f t="shared" si="173"/>
        <v>47.54</v>
      </c>
      <c r="CW63" s="21">
        <f t="shared" si="174"/>
        <v>47.54</v>
      </c>
      <c r="CX63" s="21">
        <f t="shared" si="175"/>
        <v>46.01</v>
      </c>
      <c r="CY63" s="21">
        <f t="shared" si="176"/>
        <v>47.54</v>
      </c>
      <c r="CZ63" s="21">
        <f t="shared" si="177"/>
        <v>46.01</v>
      </c>
      <c r="DA63" s="21">
        <f t="shared" si="178"/>
        <v>47.54</v>
      </c>
      <c r="DB63" s="26">
        <f t="shared" si="190"/>
        <v>559.76</v>
      </c>
      <c r="DC63" s="26">
        <f t="shared" si="180"/>
        <v>766.8</v>
      </c>
      <c r="DD63" s="21">
        <f t="shared" si="181"/>
        <v>47.54</v>
      </c>
      <c r="DE63" s="21">
        <f t="shared" si="183"/>
        <v>42.94</v>
      </c>
      <c r="DF63" s="21">
        <f t="shared" si="187"/>
        <v>47.54</v>
      </c>
      <c r="DG63" s="21">
        <f t="shared" si="184"/>
        <v>46.01</v>
      </c>
      <c r="DH63" s="21">
        <f t="shared" si="185"/>
        <v>47.54</v>
      </c>
      <c r="DI63" s="21">
        <f t="shared" si="189"/>
        <v>46.01</v>
      </c>
      <c r="DJ63" s="26"/>
      <c r="DK63" s="26"/>
      <c r="DL63" s="26"/>
      <c r="DM63" s="26"/>
      <c r="DN63" s="26"/>
      <c r="DO63" s="26"/>
      <c r="DP63" s="26">
        <f t="shared" si="186"/>
        <v>277.58</v>
      </c>
      <c r="DQ63" s="21">
        <f t="shared" si="188"/>
        <v>1044.3800000000001</v>
      </c>
      <c r="DR63" s="21">
        <f t="shared" si="182"/>
        <v>2065.62</v>
      </c>
      <c r="DS63" s="52"/>
    </row>
    <row r="64" spans="2:123" ht="24.75">
      <c r="B64" s="37">
        <v>42600</v>
      </c>
      <c r="C64" s="38" t="s">
        <v>191</v>
      </c>
      <c r="D64" s="38" t="s">
        <v>192</v>
      </c>
      <c r="E64" s="39" t="s">
        <v>133</v>
      </c>
      <c r="F64" s="39" t="s">
        <v>193</v>
      </c>
      <c r="G64" s="40">
        <v>640</v>
      </c>
      <c r="H64" s="21">
        <f t="shared" si="113"/>
        <v>64</v>
      </c>
      <c r="I64" s="21">
        <f t="shared" si="114"/>
        <v>576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21"/>
      <c r="AZ64" s="48"/>
      <c r="BA64" s="48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>
        <f>ROUND((I64/5/365*13),2)</f>
        <v>4.0999999999999996</v>
      </c>
      <c r="CJ64" s="21">
        <f t="shared" si="161"/>
        <v>9.4700000000000006</v>
      </c>
      <c r="CK64" s="21">
        <f t="shared" si="162"/>
        <v>9.7799999999999994</v>
      </c>
      <c r="CL64" s="21">
        <f t="shared" si="163"/>
        <v>9.4700000000000006</v>
      </c>
      <c r="CM64" s="21">
        <f t="shared" si="164"/>
        <v>9.7799999999999994</v>
      </c>
      <c r="CN64" s="21">
        <f t="shared" si="165"/>
        <v>42.6</v>
      </c>
      <c r="CO64" s="26">
        <f t="shared" si="166"/>
        <v>42.6</v>
      </c>
      <c r="CP64" s="21">
        <f t="shared" si="167"/>
        <v>9.7799999999999994</v>
      </c>
      <c r="CQ64" s="21">
        <f t="shared" si="168"/>
        <v>8.84</v>
      </c>
      <c r="CR64" s="21">
        <f t="shared" si="169"/>
        <v>9.7799999999999994</v>
      </c>
      <c r="CS64" s="21">
        <f t="shared" si="170"/>
        <v>9.4700000000000006</v>
      </c>
      <c r="CT64" s="27">
        <f t="shared" si="171"/>
        <v>9.7799999999999994</v>
      </c>
      <c r="CU64" s="21">
        <f t="shared" si="172"/>
        <v>9.4700000000000006</v>
      </c>
      <c r="CV64" s="21">
        <f t="shared" si="173"/>
        <v>9.7799999999999994</v>
      </c>
      <c r="CW64" s="21">
        <f t="shared" si="174"/>
        <v>9.7799999999999994</v>
      </c>
      <c r="CX64" s="21">
        <f t="shared" si="175"/>
        <v>9.4700000000000006</v>
      </c>
      <c r="CY64" s="21">
        <f t="shared" si="176"/>
        <v>9.7799999999999994</v>
      </c>
      <c r="CZ64" s="21">
        <f t="shared" si="177"/>
        <v>9.4700000000000006</v>
      </c>
      <c r="DA64" s="21">
        <f t="shared" si="178"/>
        <v>9.7799999999999994</v>
      </c>
      <c r="DB64" s="26">
        <f t="shared" si="190"/>
        <v>115.17999999999999</v>
      </c>
      <c r="DC64" s="26">
        <f t="shared" si="180"/>
        <v>157.78</v>
      </c>
      <c r="DD64" s="21">
        <f t="shared" si="181"/>
        <v>9.7799999999999994</v>
      </c>
      <c r="DE64" s="21">
        <f t="shared" si="183"/>
        <v>8.84</v>
      </c>
      <c r="DF64" s="21">
        <f t="shared" si="187"/>
        <v>9.7799999999999994</v>
      </c>
      <c r="DG64" s="21">
        <f t="shared" si="184"/>
        <v>9.4700000000000006</v>
      </c>
      <c r="DH64" s="21">
        <f t="shared" si="185"/>
        <v>9.7799999999999994</v>
      </c>
      <c r="DI64" s="21">
        <f t="shared" si="189"/>
        <v>9.4700000000000006</v>
      </c>
      <c r="DJ64" s="26"/>
      <c r="DK64" s="26"/>
      <c r="DL64" s="26"/>
      <c r="DM64" s="26"/>
      <c r="DN64" s="26"/>
      <c r="DO64" s="26"/>
      <c r="DP64" s="26">
        <f t="shared" si="186"/>
        <v>57.12</v>
      </c>
      <c r="DQ64" s="21">
        <f t="shared" si="188"/>
        <v>214.9</v>
      </c>
      <c r="DR64" s="21">
        <f t="shared" si="182"/>
        <v>425.1</v>
      </c>
      <c r="DS64" s="52"/>
    </row>
    <row r="65" spans="2:129" ht="42.75" customHeight="1">
      <c r="B65" s="37">
        <v>42713</v>
      </c>
      <c r="C65" s="38" t="s">
        <v>114</v>
      </c>
      <c r="D65" s="50" t="s">
        <v>194</v>
      </c>
      <c r="E65" s="38" t="s">
        <v>195</v>
      </c>
      <c r="F65" s="39" t="s">
        <v>196</v>
      </c>
      <c r="G65" s="54">
        <v>1150</v>
      </c>
      <c r="H65" s="21">
        <f t="shared" si="113"/>
        <v>115</v>
      </c>
      <c r="I65" s="21">
        <f t="shared" si="114"/>
        <v>1035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21"/>
      <c r="AZ65" s="48"/>
      <c r="BA65" s="48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>
        <f>ROUND((I65/5/365*22),2)</f>
        <v>12.48</v>
      </c>
      <c r="CN65" s="21">
        <f t="shared" si="165"/>
        <v>12.48</v>
      </c>
      <c r="CO65" s="26">
        <f t="shared" si="166"/>
        <v>12.48</v>
      </c>
      <c r="CP65" s="21">
        <f t="shared" si="167"/>
        <v>17.579999999999998</v>
      </c>
      <c r="CQ65" s="21">
        <f t="shared" si="168"/>
        <v>15.88</v>
      </c>
      <c r="CR65" s="21">
        <f t="shared" si="169"/>
        <v>17.579999999999998</v>
      </c>
      <c r="CS65" s="21">
        <f t="shared" si="170"/>
        <v>17.010000000000002</v>
      </c>
      <c r="CT65" s="27">
        <f t="shared" si="171"/>
        <v>17.579999999999998</v>
      </c>
      <c r="CU65" s="21">
        <f t="shared" si="172"/>
        <v>17.010000000000002</v>
      </c>
      <c r="CV65" s="21">
        <f t="shared" si="173"/>
        <v>17.579999999999998</v>
      </c>
      <c r="CW65" s="21">
        <f t="shared" si="174"/>
        <v>17.579999999999998</v>
      </c>
      <c r="CX65" s="21">
        <f t="shared" si="175"/>
        <v>17.010000000000002</v>
      </c>
      <c r="CY65" s="21">
        <f t="shared" si="176"/>
        <v>17.579999999999998</v>
      </c>
      <c r="CZ65" s="21">
        <f t="shared" si="177"/>
        <v>17.010000000000002</v>
      </c>
      <c r="DA65" s="21">
        <f t="shared" si="178"/>
        <v>17.579999999999998</v>
      </c>
      <c r="DB65" s="26">
        <f t="shared" si="190"/>
        <v>206.97999999999996</v>
      </c>
      <c r="DC65" s="26">
        <f t="shared" si="180"/>
        <v>219.46</v>
      </c>
      <c r="DD65" s="21">
        <f t="shared" si="181"/>
        <v>17.579999999999998</v>
      </c>
      <c r="DE65" s="21">
        <f t="shared" si="183"/>
        <v>15.88</v>
      </c>
      <c r="DF65" s="21">
        <f t="shared" si="187"/>
        <v>17.579999999999998</v>
      </c>
      <c r="DG65" s="21">
        <f t="shared" si="184"/>
        <v>17.010000000000002</v>
      </c>
      <c r="DH65" s="21">
        <f t="shared" si="185"/>
        <v>17.579999999999998</v>
      </c>
      <c r="DI65" s="21">
        <f t="shared" si="189"/>
        <v>17.010000000000002</v>
      </c>
      <c r="DJ65" s="26"/>
      <c r="DK65" s="26"/>
      <c r="DL65" s="26"/>
      <c r="DM65" s="26"/>
      <c r="DN65" s="26"/>
      <c r="DO65" s="26"/>
      <c r="DP65" s="26">
        <f t="shared" si="186"/>
        <v>102.64</v>
      </c>
      <c r="DQ65" s="21">
        <f t="shared" si="188"/>
        <v>322.10000000000002</v>
      </c>
      <c r="DR65" s="21">
        <f t="shared" si="182"/>
        <v>827.9</v>
      </c>
      <c r="DS65" s="52"/>
    </row>
    <row r="66" spans="2:129" ht="43.5" customHeight="1">
      <c r="B66" s="37">
        <v>42716</v>
      </c>
      <c r="C66" s="38" t="s">
        <v>114</v>
      </c>
      <c r="D66" s="50" t="s">
        <v>197</v>
      </c>
      <c r="E66" s="38" t="s">
        <v>94</v>
      </c>
      <c r="F66" s="39" t="s">
        <v>198</v>
      </c>
      <c r="G66" s="54">
        <v>805</v>
      </c>
      <c r="H66" s="21">
        <f t="shared" si="113"/>
        <v>80.5</v>
      </c>
      <c r="I66" s="21">
        <f t="shared" si="114"/>
        <v>724.5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21"/>
      <c r="AZ66" s="48"/>
      <c r="BA66" s="48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>
        <f>ROUND((I66/5/365*19),2)</f>
        <v>7.54</v>
      </c>
      <c r="CN66" s="21">
        <f t="shared" si="165"/>
        <v>7.54</v>
      </c>
      <c r="CO66" s="26">
        <f t="shared" si="166"/>
        <v>7.54</v>
      </c>
      <c r="CP66" s="21">
        <f t="shared" si="167"/>
        <v>12.31</v>
      </c>
      <c r="CQ66" s="21">
        <f t="shared" si="168"/>
        <v>11.12</v>
      </c>
      <c r="CR66" s="21">
        <f t="shared" si="169"/>
        <v>12.31</v>
      </c>
      <c r="CS66" s="21">
        <f t="shared" si="170"/>
        <v>11.91</v>
      </c>
      <c r="CT66" s="27">
        <f t="shared" si="171"/>
        <v>12.31</v>
      </c>
      <c r="CU66" s="21">
        <f t="shared" si="172"/>
        <v>11.91</v>
      </c>
      <c r="CV66" s="21">
        <f t="shared" si="173"/>
        <v>12.31</v>
      </c>
      <c r="CW66" s="21">
        <f t="shared" si="174"/>
        <v>12.31</v>
      </c>
      <c r="CX66" s="21">
        <f t="shared" si="175"/>
        <v>11.91</v>
      </c>
      <c r="CY66" s="21">
        <f t="shared" si="176"/>
        <v>12.31</v>
      </c>
      <c r="CZ66" s="21">
        <f t="shared" si="177"/>
        <v>11.91</v>
      </c>
      <c r="DA66" s="21">
        <f t="shared" si="178"/>
        <v>12.31</v>
      </c>
      <c r="DB66" s="26">
        <f t="shared" si="190"/>
        <v>144.93</v>
      </c>
      <c r="DC66" s="26">
        <f t="shared" si="180"/>
        <v>152.47</v>
      </c>
      <c r="DD66" s="21">
        <f t="shared" si="181"/>
        <v>12.31</v>
      </c>
      <c r="DE66" s="21">
        <f t="shared" si="183"/>
        <v>11.12</v>
      </c>
      <c r="DF66" s="21">
        <f t="shared" si="187"/>
        <v>12.31</v>
      </c>
      <c r="DG66" s="21">
        <f t="shared" si="184"/>
        <v>11.91</v>
      </c>
      <c r="DH66" s="21">
        <f t="shared" si="185"/>
        <v>12.31</v>
      </c>
      <c r="DI66" s="21">
        <f t="shared" si="189"/>
        <v>11.91</v>
      </c>
      <c r="DJ66" s="26"/>
      <c r="DK66" s="26"/>
      <c r="DL66" s="26"/>
      <c r="DM66" s="26"/>
      <c r="DN66" s="26"/>
      <c r="DO66" s="26"/>
      <c r="DP66" s="26">
        <f t="shared" si="186"/>
        <v>71.87</v>
      </c>
      <c r="DQ66" s="21">
        <f t="shared" si="188"/>
        <v>224.34</v>
      </c>
      <c r="DR66" s="21">
        <f t="shared" si="182"/>
        <v>580.66</v>
      </c>
      <c r="DS66" s="52"/>
    </row>
    <row r="67" spans="2:129" ht="43.5" customHeight="1">
      <c r="B67" s="37">
        <v>42716</v>
      </c>
      <c r="C67" s="38" t="s">
        <v>114</v>
      </c>
      <c r="D67" s="50" t="s">
        <v>199</v>
      </c>
      <c r="E67" s="38" t="s">
        <v>200</v>
      </c>
      <c r="F67" s="39" t="s">
        <v>201</v>
      </c>
      <c r="G67" s="54">
        <v>805</v>
      </c>
      <c r="H67" s="21">
        <f t="shared" si="113"/>
        <v>80.5</v>
      </c>
      <c r="I67" s="21">
        <f t="shared" si="114"/>
        <v>724.5</v>
      </c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21"/>
      <c r="AZ67" s="48"/>
      <c r="BA67" s="48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>
        <f>ROUND((I67/5/365*19),2)</f>
        <v>7.54</v>
      </c>
      <c r="CN67" s="21">
        <f t="shared" si="165"/>
        <v>7.54</v>
      </c>
      <c r="CO67" s="26">
        <f t="shared" si="166"/>
        <v>7.54</v>
      </c>
      <c r="CP67" s="21">
        <f t="shared" si="167"/>
        <v>12.31</v>
      </c>
      <c r="CQ67" s="21">
        <f t="shared" si="168"/>
        <v>11.12</v>
      </c>
      <c r="CR67" s="21">
        <f t="shared" si="169"/>
        <v>12.31</v>
      </c>
      <c r="CS67" s="21">
        <f t="shared" si="170"/>
        <v>11.91</v>
      </c>
      <c r="CT67" s="27">
        <f t="shared" si="171"/>
        <v>12.31</v>
      </c>
      <c r="CU67" s="21">
        <f t="shared" si="172"/>
        <v>11.91</v>
      </c>
      <c r="CV67" s="21">
        <f t="shared" si="173"/>
        <v>12.31</v>
      </c>
      <c r="CW67" s="21">
        <f t="shared" si="174"/>
        <v>12.31</v>
      </c>
      <c r="CX67" s="21">
        <f t="shared" si="175"/>
        <v>11.91</v>
      </c>
      <c r="CY67" s="21">
        <f t="shared" si="176"/>
        <v>12.31</v>
      </c>
      <c r="CZ67" s="21">
        <f t="shared" si="177"/>
        <v>11.91</v>
      </c>
      <c r="DA67" s="21">
        <f t="shared" si="178"/>
        <v>12.31</v>
      </c>
      <c r="DB67" s="26">
        <f t="shared" si="190"/>
        <v>144.93</v>
      </c>
      <c r="DC67" s="26">
        <f t="shared" si="180"/>
        <v>152.47</v>
      </c>
      <c r="DD67" s="21">
        <f t="shared" si="181"/>
        <v>12.31</v>
      </c>
      <c r="DE67" s="21">
        <f t="shared" si="183"/>
        <v>11.12</v>
      </c>
      <c r="DF67" s="21">
        <f t="shared" si="187"/>
        <v>12.31</v>
      </c>
      <c r="DG67" s="21">
        <f t="shared" si="184"/>
        <v>11.91</v>
      </c>
      <c r="DH67" s="21">
        <f t="shared" si="185"/>
        <v>12.31</v>
      </c>
      <c r="DI67" s="21">
        <f t="shared" si="189"/>
        <v>11.91</v>
      </c>
      <c r="DJ67" s="26"/>
      <c r="DK67" s="26"/>
      <c r="DL67" s="26"/>
      <c r="DM67" s="26"/>
      <c r="DN67" s="26"/>
      <c r="DO67" s="26"/>
      <c r="DP67" s="26">
        <f t="shared" si="186"/>
        <v>71.87</v>
      </c>
      <c r="DQ67" s="21">
        <f t="shared" si="188"/>
        <v>224.34</v>
      </c>
      <c r="DR67" s="21">
        <f t="shared" si="182"/>
        <v>580.66</v>
      </c>
      <c r="DS67" s="52"/>
    </row>
    <row r="68" spans="2:129" ht="45" customHeight="1">
      <c r="B68" s="37">
        <v>42716</v>
      </c>
      <c r="C68" s="38" t="s">
        <v>114</v>
      </c>
      <c r="D68" s="50" t="s">
        <v>202</v>
      </c>
      <c r="E68" s="38" t="s">
        <v>203</v>
      </c>
      <c r="F68" s="39" t="s">
        <v>204</v>
      </c>
      <c r="G68" s="54">
        <v>805</v>
      </c>
      <c r="H68" s="21">
        <f t="shared" si="113"/>
        <v>80.5</v>
      </c>
      <c r="I68" s="21">
        <f t="shared" si="114"/>
        <v>724.5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21"/>
      <c r="AZ68" s="48"/>
      <c r="BA68" s="48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>
        <f>ROUND((I68/5/365*19),2)</f>
        <v>7.54</v>
      </c>
      <c r="CN68" s="21">
        <f t="shared" si="165"/>
        <v>7.54</v>
      </c>
      <c r="CO68" s="26">
        <f t="shared" si="166"/>
        <v>7.54</v>
      </c>
      <c r="CP68" s="21">
        <f t="shared" si="167"/>
        <v>12.31</v>
      </c>
      <c r="CQ68" s="21">
        <f t="shared" si="168"/>
        <v>11.12</v>
      </c>
      <c r="CR68" s="21">
        <f t="shared" si="169"/>
        <v>12.31</v>
      </c>
      <c r="CS68" s="21">
        <f t="shared" si="170"/>
        <v>11.91</v>
      </c>
      <c r="CT68" s="27">
        <f t="shared" si="171"/>
        <v>12.31</v>
      </c>
      <c r="CU68" s="21">
        <f t="shared" si="172"/>
        <v>11.91</v>
      </c>
      <c r="CV68" s="21">
        <f t="shared" si="173"/>
        <v>12.31</v>
      </c>
      <c r="CW68" s="21">
        <f t="shared" si="174"/>
        <v>12.31</v>
      </c>
      <c r="CX68" s="21">
        <f t="shared" si="175"/>
        <v>11.91</v>
      </c>
      <c r="CY68" s="21">
        <f t="shared" si="176"/>
        <v>12.31</v>
      </c>
      <c r="CZ68" s="21">
        <f t="shared" si="177"/>
        <v>11.91</v>
      </c>
      <c r="DA68" s="21">
        <f t="shared" si="178"/>
        <v>12.31</v>
      </c>
      <c r="DB68" s="26">
        <f t="shared" si="190"/>
        <v>144.93</v>
      </c>
      <c r="DC68" s="26">
        <f t="shared" si="180"/>
        <v>152.47</v>
      </c>
      <c r="DD68" s="21">
        <f t="shared" si="181"/>
        <v>12.31</v>
      </c>
      <c r="DE68" s="21">
        <f t="shared" si="183"/>
        <v>11.12</v>
      </c>
      <c r="DF68" s="21">
        <f t="shared" si="187"/>
        <v>12.31</v>
      </c>
      <c r="DG68" s="21">
        <f t="shared" si="184"/>
        <v>11.91</v>
      </c>
      <c r="DH68" s="21">
        <f t="shared" si="185"/>
        <v>12.31</v>
      </c>
      <c r="DI68" s="21">
        <f t="shared" si="189"/>
        <v>11.91</v>
      </c>
      <c r="DJ68" s="26"/>
      <c r="DK68" s="26"/>
      <c r="DL68" s="26"/>
      <c r="DM68" s="26"/>
      <c r="DN68" s="26"/>
      <c r="DO68" s="26"/>
      <c r="DP68" s="26">
        <f t="shared" si="186"/>
        <v>71.87</v>
      </c>
      <c r="DQ68" s="21">
        <f t="shared" si="188"/>
        <v>224.34</v>
      </c>
      <c r="DR68" s="21">
        <f t="shared" si="182"/>
        <v>580.66</v>
      </c>
      <c r="DS68" s="52"/>
    </row>
    <row r="69" spans="2:129" ht="45" customHeight="1">
      <c r="B69" s="37">
        <v>42716</v>
      </c>
      <c r="C69" s="38" t="s">
        <v>114</v>
      </c>
      <c r="D69" s="50" t="s">
        <v>205</v>
      </c>
      <c r="E69" s="38" t="s">
        <v>116</v>
      </c>
      <c r="F69" s="39" t="s">
        <v>206</v>
      </c>
      <c r="G69" s="54">
        <v>805</v>
      </c>
      <c r="H69" s="21">
        <f t="shared" si="113"/>
        <v>80.5</v>
      </c>
      <c r="I69" s="21">
        <f t="shared" si="114"/>
        <v>724.5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21"/>
      <c r="AZ69" s="48"/>
      <c r="BA69" s="48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>
        <f>ROUND((I69/5/365*19),2)</f>
        <v>7.54</v>
      </c>
      <c r="CN69" s="21">
        <f t="shared" si="165"/>
        <v>7.54</v>
      </c>
      <c r="CO69" s="26">
        <f t="shared" si="166"/>
        <v>7.54</v>
      </c>
      <c r="CP69" s="21">
        <f t="shared" si="167"/>
        <v>12.31</v>
      </c>
      <c r="CQ69" s="21">
        <f t="shared" si="168"/>
        <v>11.12</v>
      </c>
      <c r="CR69" s="21">
        <f t="shared" si="169"/>
        <v>12.31</v>
      </c>
      <c r="CS69" s="21">
        <f t="shared" si="170"/>
        <v>11.91</v>
      </c>
      <c r="CT69" s="27">
        <f t="shared" si="171"/>
        <v>12.31</v>
      </c>
      <c r="CU69" s="21">
        <f t="shared" si="172"/>
        <v>11.91</v>
      </c>
      <c r="CV69" s="21">
        <f t="shared" si="173"/>
        <v>12.31</v>
      </c>
      <c r="CW69" s="21">
        <f t="shared" si="174"/>
        <v>12.31</v>
      </c>
      <c r="CX69" s="21">
        <f t="shared" si="175"/>
        <v>11.91</v>
      </c>
      <c r="CY69" s="21">
        <f t="shared" si="176"/>
        <v>12.31</v>
      </c>
      <c r="CZ69" s="21">
        <f t="shared" si="177"/>
        <v>11.91</v>
      </c>
      <c r="DA69" s="21">
        <f t="shared" si="178"/>
        <v>12.31</v>
      </c>
      <c r="DB69" s="26">
        <f t="shared" si="190"/>
        <v>144.93</v>
      </c>
      <c r="DC69" s="26">
        <f t="shared" si="180"/>
        <v>152.47</v>
      </c>
      <c r="DD69" s="21">
        <f t="shared" si="181"/>
        <v>12.31</v>
      </c>
      <c r="DE69" s="21">
        <f t="shared" si="183"/>
        <v>11.12</v>
      </c>
      <c r="DF69" s="21">
        <f t="shared" si="187"/>
        <v>12.31</v>
      </c>
      <c r="DG69" s="21">
        <f t="shared" si="184"/>
        <v>11.91</v>
      </c>
      <c r="DH69" s="21">
        <f t="shared" si="185"/>
        <v>12.31</v>
      </c>
      <c r="DI69" s="21">
        <f t="shared" si="189"/>
        <v>11.91</v>
      </c>
      <c r="DJ69" s="26"/>
      <c r="DK69" s="26"/>
      <c r="DL69" s="26"/>
      <c r="DM69" s="26"/>
      <c r="DN69" s="26"/>
      <c r="DO69" s="26"/>
      <c r="DP69" s="26">
        <f t="shared" si="186"/>
        <v>71.87</v>
      </c>
      <c r="DQ69" s="21">
        <f t="shared" si="188"/>
        <v>224.34</v>
      </c>
      <c r="DR69" s="21">
        <f t="shared" si="182"/>
        <v>580.66</v>
      </c>
      <c r="DS69" s="52"/>
    </row>
    <row r="70" spans="2:129" ht="34.5" customHeight="1">
      <c r="B70" s="37">
        <v>42724</v>
      </c>
      <c r="C70" s="38" t="s">
        <v>207</v>
      </c>
      <c r="D70" s="38" t="s">
        <v>208</v>
      </c>
      <c r="E70" s="39" t="s">
        <v>209</v>
      </c>
      <c r="F70" s="55" t="s">
        <v>210</v>
      </c>
      <c r="G70" s="54">
        <v>683.85</v>
      </c>
      <c r="H70" s="21">
        <f t="shared" si="113"/>
        <v>68.385000000000005</v>
      </c>
      <c r="I70" s="21">
        <f t="shared" si="114"/>
        <v>615.46500000000003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21"/>
      <c r="AZ70" s="48"/>
      <c r="BA70" s="48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>
        <f>ROUND((I70/5/365*11),2)</f>
        <v>3.71</v>
      </c>
      <c r="CN70" s="21">
        <f t="shared" si="165"/>
        <v>3.71</v>
      </c>
      <c r="CO70" s="26">
        <f t="shared" si="166"/>
        <v>3.71</v>
      </c>
      <c r="CP70" s="21">
        <f t="shared" si="167"/>
        <v>10.45</v>
      </c>
      <c r="CQ70" s="21">
        <f t="shared" si="168"/>
        <v>9.44</v>
      </c>
      <c r="CR70" s="21">
        <f t="shared" si="169"/>
        <v>10.45</v>
      </c>
      <c r="CS70" s="21">
        <f t="shared" si="170"/>
        <v>10.119999999999999</v>
      </c>
      <c r="CT70" s="27">
        <f t="shared" si="171"/>
        <v>10.45</v>
      </c>
      <c r="CU70" s="21">
        <f t="shared" si="172"/>
        <v>10.119999999999999</v>
      </c>
      <c r="CV70" s="21">
        <f t="shared" si="173"/>
        <v>10.45</v>
      </c>
      <c r="CW70" s="21">
        <f t="shared" si="174"/>
        <v>10.45</v>
      </c>
      <c r="CX70" s="21">
        <f t="shared" si="175"/>
        <v>10.119999999999999</v>
      </c>
      <c r="CY70" s="21">
        <f t="shared" si="176"/>
        <v>10.45</v>
      </c>
      <c r="CZ70" s="21">
        <f t="shared" si="177"/>
        <v>10.119999999999999</v>
      </c>
      <c r="DA70" s="21">
        <f t="shared" si="178"/>
        <v>10.45</v>
      </c>
      <c r="DB70" s="26">
        <f t="shared" si="190"/>
        <v>123.07000000000001</v>
      </c>
      <c r="DC70" s="26">
        <f t="shared" si="180"/>
        <v>126.78</v>
      </c>
      <c r="DD70" s="21">
        <f t="shared" si="181"/>
        <v>10.45</v>
      </c>
      <c r="DE70" s="21">
        <f t="shared" si="183"/>
        <v>9.44</v>
      </c>
      <c r="DF70" s="21">
        <f t="shared" si="187"/>
        <v>10.45</v>
      </c>
      <c r="DG70" s="21">
        <f t="shared" si="184"/>
        <v>10.119999999999999</v>
      </c>
      <c r="DH70" s="21">
        <f t="shared" si="185"/>
        <v>10.45</v>
      </c>
      <c r="DI70" s="21">
        <f t="shared" si="189"/>
        <v>10.119999999999999</v>
      </c>
      <c r="DJ70" s="26"/>
      <c r="DK70" s="26"/>
      <c r="DL70" s="26"/>
      <c r="DM70" s="26"/>
      <c r="DN70" s="26"/>
      <c r="DO70" s="26"/>
      <c r="DP70" s="26">
        <f t="shared" si="186"/>
        <v>61.029999999999994</v>
      </c>
      <c r="DQ70" s="21">
        <f t="shared" si="188"/>
        <v>187.81</v>
      </c>
      <c r="DR70" s="21">
        <f t="shared" si="182"/>
        <v>496.04</v>
      </c>
      <c r="DS70" s="52"/>
    </row>
    <row r="71" spans="2:129" ht="36" customHeight="1">
      <c r="B71" s="37">
        <v>42724</v>
      </c>
      <c r="C71" s="38" t="s">
        <v>207</v>
      </c>
      <c r="D71" s="38" t="s">
        <v>208</v>
      </c>
      <c r="E71" s="39" t="s">
        <v>209</v>
      </c>
      <c r="F71" s="55" t="s">
        <v>211</v>
      </c>
      <c r="G71" s="54">
        <v>683.85</v>
      </c>
      <c r="H71" s="21">
        <f t="shared" si="113"/>
        <v>68.385000000000005</v>
      </c>
      <c r="I71" s="21">
        <f t="shared" si="114"/>
        <v>615.46500000000003</v>
      </c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21"/>
      <c r="AZ71" s="48"/>
      <c r="BA71" s="48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>
        <f>ROUND((I71/5/365*11),2)</f>
        <v>3.71</v>
      </c>
      <c r="CN71" s="21">
        <f t="shared" si="165"/>
        <v>3.71</v>
      </c>
      <c r="CO71" s="26">
        <f t="shared" si="166"/>
        <v>3.71</v>
      </c>
      <c r="CP71" s="21">
        <f t="shared" si="167"/>
        <v>10.45</v>
      </c>
      <c r="CQ71" s="21">
        <f t="shared" si="168"/>
        <v>9.44</v>
      </c>
      <c r="CR71" s="21">
        <f t="shared" si="169"/>
        <v>10.45</v>
      </c>
      <c r="CS71" s="21">
        <f t="shared" si="170"/>
        <v>10.119999999999999</v>
      </c>
      <c r="CT71" s="27">
        <f t="shared" si="171"/>
        <v>10.45</v>
      </c>
      <c r="CU71" s="21">
        <f t="shared" si="172"/>
        <v>10.119999999999999</v>
      </c>
      <c r="CV71" s="21">
        <f t="shared" si="173"/>
        <v>10.45</v>
      </c>
      <c r="CW71" s="21">
        <f t="shared" si="174"/>
        <v>10.45</v>
      </c>
      <c r="CX71" s="21">
        <f t="shared" si="175"/>
        <v>10.119999999999999</v>
      </c>
      <c r="CY71" s="21">
        <f t="shared" si="176"/>
        <v>10.45</v>
      </c>
      <c r="CZ71" s="21">
        <f t="shared" si="177"/>
        <v>10.119999999999999</v>
      </c>
      <c r="DA71" s="21">
        <f t="shared" si="178"/>
        <v>10.45</v>
      </c>
      <c r="DB71" s="26">
        <f t="shared" si="190"/>
        <v>123.07000000000001</v>
      </c>
      <c r="DC71" s="26">
        <f t="shared" si="180"/>
        <v>126.78</v>
      </c>
      <c r="DD71" s="21">
        <f t="shared" si="181"/>
        <v>10.45</v>
      </c>
      <c r="DE71" s="21">
        <f t="shared" si="183"/>
        <v>9.44</v>
      </c>
      <c r="DF71" s="21">
        <f t="shared" si="187"/>
        <v>10.45</v>
      </c>
      <c r="DG71" s="21">
        <f t="shared" si="184"/>
        <v>10.119999999999999</v>
      </c>
      <c r="DH71" s="21">
        <f t="shared" si="185"/>
        <v>10.45</v>
      </c>
      <c r="DI71" s="21">
        <f t="shared" si="189"/>
        <v>10.119999999999999</v>
      </c>
      <c r="DJ71" s="26"/>
      <c r="DK71" s="26"/>
      <c r="DL71" s="26"/>
      <c r="DM71" s="26"/>
      <c r="DN71" s="26"/>
      <c r="DO71" s="26"/>
      <c r="DP71" s="26">
        <f t="shared" si="186"/>
        <v>61.029999999999994</v>
      </c>
      <c r="DQ71" s="21">
        <f t="shared" si="188"/>
        <v>187.81</v>
      </c>
      <c r="DR71" s="21">
        <f t="shared" si="182"/>
        <v>496.04</v>
      </c>
      <c r="DS71" s="52"/>
    </row>
    <row r="72" spans="2:129" ht="19.5" customHeight="1">
      <c r="B72" s="37">
        <v>42727</v>
      </c>
      <c r="C72" s="39" t="s">
        <v>212</v>
      </c>
      <c r="D72" s="39" t="s">
        <v>213</v>
      </c>
      <c r="E72" s="39" t="s">
        <v>133</v>
      </c>
      <c r="F72" s="39" t="s">
        <v>214</v>
      </c>
      <c r="G72" s="54">
        <v>865</v>
      </c>
      <c r="H72" s="21">
        <f t="shared" si="113"/>
        <v>86.5</v>
      </c>
      <c r="I72" s="21">
        <f t="shared" si="114"/>
        <v>778.5</v>
      </c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21"/>
      <c r="AZ72" s="48"/>
      <c r="BA72" s="48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>
        <f>ROUND((I72/5/365*8),2)</f>
        <v>3.41</v>
      </c>
      <c r="CN72" s="21">
        <f t="shared" si="165"/>
        <v>3.41</v>
      </c>
      <c r="CO72" s="26">
        <f t="shared" si="166"/>
        <v>3.41</v>
      </c>
      <c r="CP72" s="21">
        <f t="shared" si="167"/>
        <v>13.22</v>
      </c>
      <c r="CQ72" s="21">
        <f t="shared" si="168"/>
        <v>11.94</v>
      </c>
      <c r="CR72" s="21">
        <f t="shared" si="169"/>
        <v>13.22</v>
      </c>
      <c r="CS72" s="21">
        <f t="shared" si="170"/>
        <v>12.8</v>
      </c>
      <c r="CT72" s="27">
        <f t="shared" si="171"/>
        <v>13.22</v>
      </c>
      <c r="CU72" s="21">
        <f t="shared" si="172"/>
        <v>12.8</v>
      </c>
      <c r="CV72" s="21">
        <f t="shared" si="173"/>
        <v>13.22</v>
      </c>
      <c r="CW72" s="21">
        <f t="shared" si="174"/>
        <v>13.22</v>
      </c>
      <c r="CX72" s="21">
        <f t="shared" si="175"/>
        <v>12.8</v>
      </c>
      <c r="CY72" s="21">
        <f t="shared" si="176"/>
        <v>13.22</v>
      </c>
      <c r="CZ72" s="21">
        <f t="shared" si="177"/>
        <v>12.8</v>
      </c>
      <c r="DA72" s="21">
        <f t="shared" si="178"/>
        <v>13.22</v>
      </c>
      <c r="DB72" s="26">
        <f t="shared" si="190"/>
        <v>155.68</v>
      </c>
      <c r="DC72" s="26">
        <f t="shared" si="180"/>
        <v>159.09</v>
      </c>
      <c r="DD72" s="21">
        <f t="shared" si="181"/>
        <v>13.22</v>
      </c>
      <c r="DE72" s="21">
        <f t="shared" si="183"/>
        <v>11.94</v>
      </c>
      <c r="DF72" s="21">
        <f t="shared" si="187"/>
        <v>13.22</v>
      </c>
      <c r="DG72" s="21">
        <f t="shared" si="184"/>
        <v>12.8</v>
      </c>
      <c r="DH72" s="21">
        <f t="shared" si="185"/>
        <v>13.22</v>
      </c>
      <c r="DI72" s="21">
        <f t="shared" si="189"/>
        <v>12.8</v>
      </c>
      <c r="DJ72" s="26"/>
      <c r="DK72" s="26"/>
      <c r="DL72" s="26"/>
      <c r="DM72" s="26"/>
      <c r="DN72" s="26"/>
      <c r="DO72" s="26"/>
      <c r="DP72" s="26">
        <f t="shared" si="186"/>
        <v>77.2</v>
      </c>
      <c r="DQ72" s="21">
        <f t="shared" si="188"/>
        <v>236.29</v>
      </c>
      <c r="DR72" s="21">
        <f t="shared" si="182"/>
        <v>628.71</v>
      </c>
      <c r="DS72" s="52"/>
    </row>
    <row r="73" spans="2:129" ht="27" customHeight="1">
      <c r="B73" s="37">
        <v>42860</v>
      </c>
      <c r="C73" s="38" t="s">
        <v>114</v>
      </c>
      <c r="D73" s="38" t="s">
        <v>215</v>
      </c>
      <c r="E73" s="38" t="s">
        <v>216</v>
      </c>
      <c r="F73" s="39" t="s">
        <v>217</v>
      </c>
      <c r="G73" s="54">
        <v>805</v>
      </c>
      <c r="H73" s="21">
        <f t="shared" si="113"/>
        <v>80.5</v>
      </c>
      <c r="I73" s="21">
        <f t="shared" si="114"/>
        <v>724.5</v>
      </c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21"/>
      <c r="AZ73" s="48"/>
      <c r="BA73" s="48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6"/>
      <c r="CP73" s="21"/>
      <c r="CQ73" s="21"/>
      <c r="CR73" s="21"/>
      <c r="CS73" s="21"/>
      <c r="CT73" s="27">
        <f>ROUND((I73/5/365*26),2)</f>
        <v>10.32</v>
      </c>
      <c r="CU73" s="21">
        <f t="shared" si="172"/>
        <v>11.91</v>
      </c>
      <c r="CV73" s="21">
        <f t="shared" si="173"/>
        <v>12.31</v>
      </c>
      <c r="CW73" s="21">
        <f t="shared" si="174"/>
        <v>12.31</v>
      </c>
      <c r="CX73" s="21">
        <f t="shared" si="175"/>
        <v>11.91</v>
      </c>
      <c r="CY73" s="21">
        <f t="shared" si="176"/>
        <v>12.31</v>
      </c>
      <c r="CZ73" s="21">
        <f t="shared" si="177"/>
        <v>11.91</v>
      </c>
      <c r="DA73" s="21">
        <f t="shared" si="178"/>
        <v>12.31</v>
      </c>
      <c r="DB73" s="26">
        <f t="shared" si="190"/>
        <v>95.29</v>
      </c>
      <c r="DC73" s="26">
        <f t="shared" si="180"/>
        <v>95.29</v>
      </c>
      <c r="DD73" s="21">
        <f t="shared" si="181"/>
        <v>12.31</v>
      </c>
      <c r="DE73" s="21">
        <f>ROUND((I73/5/365*28),2)</f>
        <v>11.12</v>
      </c>
      <c r="DF73" s="21">
        <f t="shared" si="187"/>
        <v>12.31</v>
      </c>
      <c r="DG73" s="21">
        <f t="shared" si="184"/>
        <v>11.91</v>
      </c>
      <c r="DH73" s="21">
        <f t="shared" si="185"/>
        <v>12.31</v>
      </c>
      <c r="DI73" s="21">
        <f t="shared" si="189"/>
        <v>11.91</v>
      </c>
      <c r="DJ73" s="26"/>
      <c r="DK73" s="26"/>
      <c r="DL73" s="26"/>
      <c r="DM73" s="26"/>
      <c r="DN73" s="26"/>
      <c r="DO73" s="26"/>
      <c r="DP73" s="26">
        <f t="shared" si="186"/>
        <v>71.87</v>
      </c>
      <c r="DQ73" s="21">
        <f t="shared" si="188"/>
        <v>167.16</v>
      </c>
      <c r="DR73" s="21">
        <f t="shared" si="182"/>
        <v>637.84</v>
      </c>
      <c r="DY73" s="56"/>
    </row>
    <row r="74" spans="2:129" ht="36.75" customHeight="1">
      <c r="B74" s="37">
        <v>42972</v>
      </c>
      <c r="C74" s="38" t="s">
        <v>218</v>
      </c>
      <c r="D74" s="38" t="s">
        <v>219</v>
      </c>
      <c r="E74" s="38" t="s">
        <v>220</v>
      </c>
      <c r="F74" s="39" t="s">
        <v>221</v>
      </c>
      <c r="G74" s="54">
        <v>950</v>
      </c>
      <c r="H74" s="21">
        <f t="shared" si="113"/>
        <v>95</v>
      </c>
      <c r="I74" s="21">
        <f t="shared" si="114"/>
        <v>855</v>
      </c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21"/>
      <c r="AZ74" s="48"/>
      <c r="BA74" s="48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6"/>
      <c r="CP74" s="21"/>
      <c r="CQ74" s="21"/>
      <c r="CR74" s="21"/>
      <c r="CS74" s="21"/>
      <c r="CT74" s="27"/>
      <c r="CU74" s="21"/>
      <c r="CV74" s="21"/>
      <c r="CW74" s="21">
        <f>ROUND((I74/5/365*6),2)</f>
        <v>2.81</v>
      </c>
      <c r="CX74" s="21">
        <f t="shared" si="175"/>
        <v>14.05</v>
      </c>
      <c r="CY74" s="21">
        <f t="shared" si="176"/>
        <v>14.52</v>
      </c>
      <c r="CZ74" s="21">
        <f t="shared" si="177"/>
        <v>14.05</v>
      </c>
      <c r="DA74" s="21">
        <f t="shared" si="178"/>
        <v>14.52</v>
      </c>
      <c r="DB74" s="26">
        <f t="shared" si="190"/>
        <v>59.95</v>
      </c>
      <c r="DC74" s="26">
        <f t="shared" si="180"/>
        <v>59.95</v>
      </c>
      <c r="DD74" s="21">
        <f t="shared" si="181"/>
        <v>14.52</v>
      </c>
      <c r="DE74" s="21">
        <f t="shared" si="183"/>
        <v>13.12</v>
      </c>
      <c r="DF74" s="21">
        <f t="shared" si="187"/>
        <v>14.52</v>
      </c>
      <c r="DG74" s="21">
        <f t="shared" si="184"/>
        <v>14.05</v>
      </c>
      <c r="DH74" s="21">
        <f t="shared" si="185"/>
        <v>14.52</v>
      </c>
      <c r="DI74" s="21">
        <f t="shared" si="189"/>
        <v>14.05</v>
      </c>
      <c r="DJ74" s="26"/>
      <c r="DK74" s="26"/>
      <c r="DL74" s="26"/>
      <c r="DM74" s="26"/>
      <c r="DN74" s="26"/>
      <c r="DO74" s="26"/>
      <c r="DP74" s="26">
        <f t="shared" si="186"/>
        <v>84.779999999999987</v>
      </c>
      <c r="DQ74" s="21">
        <f t="shared" si="188"/>
        <v>144.72999999999999</v>
      </c>
      <c r="DR74" s="21">
        <f t="shared" si="182"/>
        <v>805.27</v>
      </c>
      <c r="DS74" s="57"/>
      <c r="DY74" s="56"/>
    </row>
    <row r="75" spans="2:129" ht="99">
      <c r="B75" s="37">
        <v>42972</v>
      </c>
      <c r="C75" s="38" t="s">
        <v>222</v>
      </c>
      <c r="D75" s="38" t="s">
        <v>223</v>
      </c>
      <c r="E75" s="58" t="s">
        <v>105</v>
      </c>
      <c r="F75" s="56" t="s">
        <v>224</v>
      </c>
      <c r="G75" s="54">
        <v>900</v>
      </c>
      <c r="H75" s="21">
        <f t="shared" si="113"/>
        <v>90</v>
      </c>
      <c r="I75" s="21">
        <f t="shared" si="114"/>
        <v>810</v>
      </c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21"/>
      <c r="AZ75" s="48"/>
      <c r="BA75" s="48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6"/>
      <c r="CP75" s="21"/>
      <c r="CQ75" s="21"/>
      <c r="CR75" s="21"/>
      <c r="CS75" s="21"/>
      <c r="CT75" s="27"/>
      <c r="CU75" s="21"/>
      <c r="CV75" s="21"/>
      <c r="CW75" s="21">
        <f>ROUND((I75/5/365*6),2)</f>
        <v>2.66</v>
      </c>
      <c r="CX75" s="21">
        <f t="shared" si="175"/>
        <v>13.32</v>
      </c>
      <c r="CY75" s="21">
        <f t="shared" si="176"/>
        <v>13.76</v>
      </c>
      <c r="CZ75" s="21">
        <f t="shared" si="177"/>
        <v>13.32</v>
      </c>
      <c r="DA75" s="21">
        <f t="shared" si="178"/>
        <v>13.76</v>
      </c>
      <c r="DB75" s="26">
        <f t="shared" si="190"/>
        <v>56.82</v>
      </c>
      <c r="DC75" s="26">
        <f t="shared" si="180"/>
        <v>56.82</v>
      </c>
      <c r="DD75" s="21">
        <f t="shared" si="181"/>
        <v>13.76</v>
      </c>
      <c r="DE75" s="21">
        <f t="shared" si="183"/>
        <v>12.43</v>
      </c>
      <c r="DF75" s="21">
        <f>ROUND((I75/5/365*31),2)</f>
        <v>13.76</v>
      </c>
      <c r="DG75" s="21">
        <f t="shared" si="184"/>
        <v>13.32</v>
      </c>
      <c r="DH75" s="21">
        <f t="shared" si="185"/>
        <v>13.76</v>
      </c>
      <c r="DI75" s="21">
        <f t="shared" si="189"/>
        <v>13.32</v>
      </c>
      <c r="DJ75" s="26"/>
      <c r="DK75" s="26"/>
      <c r="DL75" s="26"/>
      <c r="DM75" s="26"/>
      <c r="DN75" s="26"/>
      <c r="DO75" s="26"/>
      <c r="DP75" s="26">
        <f t="shared" si="186"/>
        <v>80.349999999999994</v>
      </c>
      <c r="DQ75" s="21">
        <f t="shared" si="188"/>
        <v>137.16999999999999</v>
      </c>
      <c r="DR75" s="21">
        <f t="shared" si="182"/>
        <v>762.83</v>
      </c>
      <c r="DY75" s="56"/>
    </row>
    <row r="76" spans="2:129" ht="43.5" customHeight="1">
      <c r="B76" s="37">
        <v>43017</v>
      </c>
      <c r="C76" s="38" t="s">
        <v>114</v>
      </c>
      <c r="D76" s="38" t="s">
        <v>225</v>
      </c>
      <c r="E76" s="38" t="s">
        <v>145</v>
      </c>
      <c r="F76" s="39" t="s">
        <v>226</v>
      </c>
      <c r="G76" s="54">
        <v>750</v>
      </c>
      <c r="H76" s="21">
        <f t="shared" si="113"/>
        <v>75</v>
      </c>
      <c r="I76" s="21">
        <f t="shared" si="114"/>
        <v>675</v>
      </c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21"/>
      <c r="AZ76" s="48"/>
      <c r="BA76" s="48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6"/>
      <c r="CP76" s="21"/>
      <c r="CQ76" s="21"/>
      <c r="CR76" s="21"/>
      <c r="CS76" s="21"/>
      <c r="CT76" s="27"/>
      <c r="CU76" s="21"/>
      <c r="CV76" s="21"/>
      <c r="CW76" s="21"/>
      <c r="CX76" s="21"/>
      <c r="CY76" s="21">
        <f>ROUND((I76/5/365*22),2)</f>
        <v>8.14</v>
      </c>
      <c r="CZ76" s="21">
        <f t="shared" si="177"/>
        <v>11.1</v>
      </c>
      <c r="DA76" s="21">
        <f t="shared" si="178"/>
        <v>11.47</v>
      </c>
      <c r="DB76" s="26">
        <f t="shared" si="190"/>
        <v>30.71</v>
      </c>
      <c r="DC76" s="26">
        <f t="shared" si="180"/>
        <v>30.71</v>
      </c>
      <c r="DD76" s="21">
        <f t="shared" si="181"/>
        <v>11.47</v>
      </c>
      <c r="DE76" s="21">
        <f t="shared" si="183"/>
        <v>10.36</v>
      </c>
      <c r="DF76" s="21">
        <f t="shared" si="187"/>
        <v>11.47</v>
      </c>
      <c r="DG76" s="21">
        <f t="shared" si="184"/>
        <v>11.1</v>
      </c>
      <c r="DH76" s="21">
        <f t="shared" si="185"/>
        <v>11.47</v>
      </c>
      <c r="DI76" s="21">
        <f t="shared" si="189"/>
        <v>11.1</v>
      </c>
      <c r="DJ76" s="26"/>
      <c r="DK76" s="26"/>
      <c r="DL76" s="26"/>
      <c r="DM76" s="26"/>
      <c r="DN76" s="26"/>
      <c r="DO76" s="26"/>
      <c r="DP76" s="26">
        <f t="shared" si="186"/>
        <v>66.97</v>
      </c>
      <c r="DQ76" s="21">
        <f t="shared" si="188"/>
        <v>97.68</v>
      </c>
      <c r="DR76" s="21">
        <f t="shared" si="182"/>
        <v>652.31999999999994</v>
      </c>
      <c r="DY76" s="56"/>
    </row>
    <row r="77" spans="2:129" ht="46.5" customHeight="1">
      <c r="B77" s="37">
        <v>43017</v>
      </c>
      <c r="C77" s="38" t="s">
        <v>114</v>
      </c>
      <c r="D77" s="38" t="s">
        <v>227</v>
      </c>
      <c r="E77" s="38" t="s">
        <v>228</v>
      </c>
      <c r="F77" s="39" t="s">
        <v>229</v>
      </c>
      <c r="G77" s="54">
        <v>650</v>
      </c>
      <c r="H77" s="21">
        <f t="shared" si="113"/>
        <v>65</v>
      </c>
      <c r="I77" s="21">
        <f t="shared" si="114"/>
        <v>585</v>
      </c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21"/>
      <c r="AZ77" s="48"/>
      <c r="BA77" s="48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6"/>
      <c r="CP77" s="21"/>
      <c r="CQ77" s="21"/>
      <c r="CR77" s="21"/>
      <c r="CS77" s="21"/>
      <c r="CT77" s="27"/>
      <c r="CU77" s="21"/>
      <c r="CV77" s="21"/>
      <c r="CW77" s="21"/>
      <c r="CX77" s="21"/>
      <c r="CY77" s="21">
        <f>ROUND((I77/5/365*22),2)</f>
        <v>7.05</v>
      </c>
      <c r="CZ77" s="21">
        <f t="shared" si="177"/>
        <v>9.6199999999999992</v>
      </c>
      <c r="DA77" s="21">
        <f t="shared" si="178"/>
        <v>9.94</v>
      </c>
      <c r="DB77" s="26">
        <f t="shared" si="190"/>
        <v>26.61</v>
      </c>
      <c r="DC77" s="26">
        <f t="shared" si="180"/>
        <v>26.61</v>
      </c>
      <c r="DD77" s="21">
        <f t="shared" si="181"/>
        <v>9.94</v>
      </c>
      <c r="DE77" s="21">
        <f t="shared" si="183"/>
        <v>8.98</v>
      </c>
      <c r="DF77" s="21">
        <f t="shared" si="187"/>
        <v>9.94</v>
      </c>
      <c r="DG77" s="21">
        <f t="shared" si="184"/>
        <v>9.6199999999999992</v>
      </c>
      <c r="DH77" s="21">
        <f t="shared" si="185"/>
        <v>9.94</v>
      </c>
      <c r="DI77" s="21">
        <f t="shared" si="189"/>
        <v>9.6199999999999992</v>
      </c>
      <c r="DJ77" s="26"/>
      <c r="DK77" s="26"/>
      <c r="DL77" s="26"/>
      <c r="DM77" s="26"/>
      <c r="DN77" s="26"/>
      <c r="DO77" s="26"/>
      <c r="DP77" s="26">
        <f t="shared" si="186"/>
        <v>58.039999999999992</v>
      </c>
      <c r="DQ77" s="21">
        <f t="shared" si="188"/>
        <v>84.65</v>
      </c>
      <c r="DR77" s="21">
        <f t="shared" si="182"/>
        <v>565.35</v>
      </c>
      <c r="DY77" s="56"/>
    </row>
    <row r="78" spans="2:129" ht="52.5" customHeight="1">
      <c r="B78" s="37">
        <v>43052</v>
      </c>
      <c r="C78" s="38" t="s">
        <v>114</v>
      </c>
      <c r="D78" s="38" t="s">
        <v>230</v>
      </c>
      <c r="E78" s="38" t="s">
        <v>231</v>
      </c>
      <c r="F78" s="39" t="s">
        <v>232</v>
      </c>
      <c r="G78" s="54">
        <v>1250</v>
      </c>
      <c r="H78" s="21">
        <f t="shared" si="113"/>
        <v>125</v>
      </c>
      <c r="I78" s="21">
        <f t="shared" si="114"/>
        <v>1125</v>
      </c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21"/>
      <c r="AZ78" s="48"/>
      <c r="BA78" s="48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6"/>
      <c r="CP78" s="21"/>
      <c r="CQ78" s="21"/>
      <c r="CR78" s="21"/>
      <c r="CS78" s="21"/>
      <c r="CT78" s="27"/>
      <c r="CU78" s="21"/>
      <c r="CV78" s="21"/>
      <c r="CW78" s="21"/>
      <c r="CX78" s="21"/>
      <c r="CY78" s="21"/>
      <c r="CZ78" s="21">
        <f>ROUND((I78/5/365*17),2)</f>
        <v>10.48</v>
      </c>
      <c r="DA78" s="21">
        <f t="shared" si="178"/>
        <v>19.11</v>
      </c>
      <c r="DB78" s="26">
        <f t="shared" si="190"/>
        <v>29.59</v>
      </c>
      <c r="DC78" s="26">
        <f t="shared" si="180"/>
        <v>29.59</v>
      </c>
      <c r="DD78" s="21">
        <f t="shared" si="181"/>
        <v>19.11</v>
      </c>
      <c r="DE78" s="21">
        <f t="shared" si="183"/>
        <v>17.260000000000002</v>
      </c>
      <c r="DF78" s="21">
        <f>ROUND((I78/5/365*31),2)</f>
        <v>19.11</v>
      </c>
      <c r="DG78" s="21">
        <f t="shared" si="184"/>
        <v>18.489999999999998</v>
      </c>
      <c r="DH78" s="21">
        <f t="shared" si="185"/>
        <v>19.11</v>
      </c>
      <c r="DI78" s="21">
        <f t="shared" si="189"/>
        <v>18.489999999999998</v>
      </c>
      <c r="DJ78" s="26"/>
      <c r="DK78" s="26"/>
      <c r="DL78" s="26"/>
      <c r="DM78" s="26"/>
      <c r="DN78" s="26"/>
      <c r="DO78" s="26"/>
      <c r="DP78" s="26">
        <f t="shared" si="186"/>
        <v>111.57</v>
      </c>
      <c r="DQ78" s="21">
        <f t="shared" si="188"/>
        <v>141.16</v>
      </c>
      <c r="DR78" s="21">
        <f t="shared" si="182"/>
        <v>1108.8399999999999</v>
      </c>
      <c r="DY78" s="56"/>
    </row>
    <row r="79" spans="2:129" ht="39.75" customHeight="1">
      <c r="B79" s="37">
        <v>43172</v>
      </c>
      <c r="C79" s="38" t="s">
        <v>114</v>
      </c>
      <c r="D79" s="56" t="s">
        <v>233</v>
      </c>
      <c r="E79" s="38" t="s">
        <v>200</v>
      </c>
      <c r="F79" s="39" t="s">
        <v>234</v>
      </c>
      <c r="G79" s="59">
        <v>694.57</v>
      </c>
      <c r="H79" s="21">
        <f t="shared" si="113"/>
        <v>69.457000000000008</v>
      </c>
      <c r="I79" s="21">
        <f>(G79*0.9)</f>
        <v>625.11300000000006</v>
      </c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21"/>
      <c r="AZ79" s="48"/>
      <c r="BA79" s="48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6"/>
      <c r="CP79" s="21"/>
      <c r="CQ79" s="21"/>
      <c r="CR79" s="21"/>
      <c r="CS79" s="21"/>
      <c r="CT79" s="27"/>
      <c r="CU79" s="21"/>
      <c r="CV79" s="21"/>
      <c r="CW79" s="21"/>
      <c r="CX79" s="21"/>
      <c r="CY79" s="21"/>
      <c r="CZ79" s="21"/>
      <c r="DA79" s="21"/>
      <c r="DB79" s="26"/>
      <c r="DC79" s="26"/>
      <c r="DD79" s="21"/>
      <c r="DE79" s="21"/>
      <c r="DF79" s="21">
        <f>ROUND((I79/5/365*18),2)</f>
        <v>6.17</v>
      </c>
      <c r="DG79" s="21">
        <f t="shared" si="184"/>
        <v>10.28</v>
      </c>
      <c r="DH79" s="21">
        <f t="shared" si="185"/>
        <v>10.62</v>
      </c>
      <c r="DI79" s="21">
        <f t="shared" si="189"/>
        <v>10.28</v>
      </c>
      <c r="DJ79" s="26"/>
      <c r="DK79" s="26"/>
      <c r="DL79" s="26"/>
      <c r="DM79" s="26"/>
      <c r="DN79" s="26"/>
      <c r="DO79" s="26"/>
      <c r="DP79" s="26">
        <f t="shared" si="186"/>
        <v>37.35</v>
      </c>
      <c r="DQ79" s="21">
        <f t="shared" si="188"/>
        <v>37.35</v>
      </c>
      <c r="DR79" s="21">
        <f t="shared" si="182"/>
        <v>657.22</v>
      </c>
      <c r="DY79" s="56"/>
    </row>
    <row r="80" spans="2:129" ht="39.75" customHeight="1">
      <c r="B80" s="37">
        <v>43172</v>
      </c>
      <c r="C80" s="38" t="s">
        <v>114</v>
      </c>
      <c r="D80" s="38" t="s">
        <v>235</v>
      </c>
      <c r="E80" s="38" t="s">
        <v>231</v>
      </c>
      <c r="F80" s="39" t="s">
        <v>236</v>
      </c>
      <c r="G80" s="59">
        <v>694.57</v>
      </c>
      <c r="H80" s="21">
        <f t="shared" si="113"/>
        <v>69.457000000000008</v>
      </c>
      <c r="I80" s="21">
        <f t="shared" si="114"/>
        <v>625.11300000000006</v>
      </c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21"/>
      <c r="AZ80" s="48"/>
      <c r="BA80" s="48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6"/>
      <c r="CP80" s="21"/>
      <c r="CQ80" s="21"/>
      <c r="CR80" s="21"/>
      <c r="CS80" s="21"/>
      <c r="CT80" s="27"/>
      <c r="CU80" s="21"/>
      <c r="CV80" s="21"/>
      <c r="CW80" s="21"/>
      <c r="CX80" s="21"/>
      <c r="CY80" s="21"/>
      <c r="CZ80" s="21"/>
      <c r="DA80" s="21"/>
      <c r="DB80" s="26"/>
      <c r="DC80" s="26"/>
      <c r="DD80" s="21"/>
      <c r="DE80" s="21"/>
      <c r="DF80" s="21">
        <f>ROUND((I80/5/365*18),2)</f>
        <v>6.17</v>
      </c>
      <c r="DG80" s="21">
        <f t="shared" si="184"/>
        <v>10.28</v>
      </c>
      <c r="DH80" s="21">
        <f t="shared" si="185"/>
        <v>10.62</v>
      </c>
      <c r="DI80" s="21">
        <f t="shared" si="189"/>
        <v>10.28</v>
      </c>
      <c r="DJ80" s="26"/>
      <c r="DK80" s="26"/>
      <c r="DL80" s="26"/>
      <c r="DM80" s="26"/>
      <c r="DN80" s="26"/>
      <c r="DO80" s="26"/>
      <c r="DP80" s="26">
        <f>SUM(DD80:DO80)</f>
        <v>37.35</v>
      </c>
      <c r="DQ80" s="21">
        <f t="shared" si="188"/>
        <v>37.35</v>
      </c>
      <c r="DR80" s="21">
        <f t="shared" si="182"/>
        <v>657.22</v>
      </c>
      <c r="DY80" s="56"/>
    </row>
    <row r="81" spans="2:129" ht="53.25" customHeight="1">
      <c r="B81" s="37">
        <v>43258</v>
      </c>
      <c r="C81" s="38" t="s">
        <v>114</v>
      </c>
      <c r="D81" s="232" t="s">
        <v>938</v>
      </c>
      <c r="E81" s="218" t="s">
        <v>939</v>
      </c>
      <c r="F81" s="219" t="s">
        <v>940</v>
      </c>
      <c r="G81" s="59">
        <v>670</v>
      </c>
      <c r="H81" s="21">
        <f t="shared" si="113"/>
        <v>67</v>
      </c>
      <c r="I81" s="21">
        <f t="shared" si="114"/>
        <v>603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21"/>
      <c r="AZ81" s="48"/>
      <c r="BA81" s="48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6"/>
      <c r="CP81" s="21"/>
      <c r="CQ81" s="21"/>
      <c r="CR81" s="21"/>
      <c r="CS81" s="21"/>
      <c r="CT81" s="27"/>
      <c r="CU81" s="21"/>
      <c r="CV81" s="21"/>
      <c r="CW81" s="21"/>
      <c r="CX81" s="21"/>
      <c r="CY81" s="21"/>
      <c r="CZ81" s="21"/>
      <c r="DA81" s="21"/>
      <c r="DB81" s="26"/>
      <c r="DC81" s="26"/>
      <c r="DD81" s="21"/>
      <c r="DE81" s="21"/>
      <c r="DF81" s="21"/>
      <c r="DG81" s="21"/>
      <c r="DH81" s="21"/>
      <c r="DI81" s="21">
        <f>ROUND((I81/5/365*23),2)</f>
        <v>7.6</v>
      </c>
      <c r="DJ81" s="26"/>
      <c r="DK81" s="26"/>
      <c r="DL81" s="26"/>
      <c r="DM81" s="26"/>
      <c r="DN81" s="26"/>
      <c r="DO81" s="26"/>
      <c r="DP81" s="26">
        <f t="shared" ref="DP81:DP83" si="192">SUM(DD81:DO81)</f>
        <v>7.6</v>
      </c>
      <c r="DQ81" s="21">
        <f t="shared" si="188"/>
        <v>7.6</v>
      </c>
      <c r="DR81" s="21">
        <f t="shared" si="182"/>
        <v>662.4</v>
      </c>
      <c r="DY81" s="56"/>
    </row>
    <row r="82" spans="2:129" ht="63" customHeight="1">
      <c r="B82" s="37">
        <v>43269</v>
      </c>
      <c r="C82" s="38" t="s">
        <v>114</v>
      </c>
      <c r="D82" s="232" t="s">
        <v>941</v>
      </c>
      <c r="E82" s="38" t="s">
        <v>286</v>
      </c>
      <c r="F82" s="219" t="s">
        <v>234</v>
      </c>
      <c r="G82" s="59">
        <v>900</v>
      </c>
      <c r="H82" s="21">
        <f t="shared" si="113"/>
        <v>90</v>
      </c>
      <c r="I82" s="21">
        <f t="shared" si="114"/>
        <v>810</v>
      </c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21"/>
      <c r="AZ82" s="48"/>
      <c r="BA82" s="48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6"/>
      <c r="CP82" s="21"/>
      <c r="CQ82" s="21"/>
      <c r="CR82" s="21"/>
      <c r="CS82" s="21"/>
      <c r="CT82" s="27"/>
      <c r="CU82" s="21"/>
      <c r="CV82" s="21"/>
      <c r="CW82" s="21"/>
      <c r="CX82" s="21"/>
      <c r="CY82" s="21"/>
      <c r="CZ82" s="21"/>
      <c r="DA82" s="21"/>
      <c r="DB82" s="26"/>
      <c r="DC82" s="26"/>
      <c r="DD82" s="21"/>
      <c r="DE82" s="21"/>
      <c r="DF82" s="21"/>
      <c r="DG82" s="21"/>
      <c r="DH82" s="21"/>
      <c r="DI82" s="21">
        <f>ROUND((I82/5/365*12),2)</f>
        <v>5.33</v>
      </c>
      <c r="DJ82" s="26"/>
      <c r="DK82" s="26"/>
      <c r="DL82" s="26"/>
      <c r="DM82" s="26"/>
      <c r="DN82" s="26"/>
      <c r="DO82" s="26"/>
      <c r="DP82" s="26">
        <f t="shared" si="192"/>
        <v>5.33</v>
      </c>
      <c r="DQ82" s="21">
        <f t="shared" si="188"/>
        <v>5.33</v>
      </c>
      <c r="DR82" s="21">
        <f t="shared" si="182"/>
        <v>894.67</v>
      </c>
      <c r="DY82" s="56"/>
    </row>
    <row r="83" spans="2:129" ht="60.75" customHeight="1">
      <c r="B83" s="37">
        <v>43269</v>
      </c>
      <c r="C83" s="38" t="s">
        <v>114</v>
      </c>
      <c r="D83" s="232" t="s">
        <v>942</v>
      </c>
      <c r="E83" s="38" t="s">
        <v>374</v>
      </c>
      <c r="F83" s="219" t="s">
        <v>236</v>
      </c>
      <c r="G83" s="59">
        <v>900</v>
      </c>
      <c r="H83" s="21">
        <f t="shared" si="113"/>
        <v>90</v>
      </c>
      <c r="I83" s="21">
        <f t="shared" si="114"/>
        <v>810</v>
      </c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21"/>
      <c r="AZ83" s="48"/>
      <c r="BA83" s="48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6"/>
      <c r="CP83" s="21"/>
      <c r="CQ83" s="21"/>
      <c r="CR83" s="21"/>
      <c r="CS83" s="21"/>
      <c r="CT83" s="27"/>
      <c r="CU83" s="21"/>
      <c r="CV83" s="21"/>
      <c r="CW83" s="21"/>
      <c r="CX83" s="21"/>
      <c r="CY83" s="21"/>
      <c r="CZ83" s="21"/>
      <c r="DA83" s="21"/>
      <c r="DB83" s="26"/>
      <c r="DC83" s="26"/>
      <c r="DD83" s="21"/>
      <c r="DE83" s="21"/>
      <c r="DF83" s="21"/>
      <c r="DG83" s="21"/>
      <c r="DH83" s="21"/>
      <c r="DI83" s="21">
        <f>ROUND((I83/5/365*12),2)</f>
        <v>5.33</v>
      </c>
      <c r="DJ83" s="26"/>
      <c r="DK83" s="26"/>
      <c r="DL83" s="26"/>
      <c r="DM83" s="26"/>
      <c r="DN83" s="26"/>
      <c r="DO83" s="26"/>
      <c r="DP83" s="26">
        <f t="shared" si="192"/>
        <v>5.33</v>
      </c>
      <c r="DQ83" s="21">
        <f t="shared" si="188"/>
        <v>5.33</v>
      </c>
      <c r="DR83" s="21">
        <f t="shared" si="182"/>
        <v>894.67</v>
      </c>
      <c r="DY83" s="56"/>
    </row>
    <row r="84" spans="2:129" ht="15.75" customHeight="1">
      <c r="B84" s="29" t="s">
        <v>237</v>
      </c>
      <c r="C84" s="60"/>
      <c r="D84" s="61"/>
      <c r="E84" s="62"/>
      <c r="F84" s="63"/>
      <c r="G84" s="33">
        <f>SUM(G33:G83)</f>
        <v>92469.000000000015</v>
      </c>
      <c r="H84" s="33">
        <f>SUM(H33:H83)</f>
        <v>9246.9000000000033</v>
      </c>
      <c r="I84" s="33">
        <f>SUM(I33:I83)</f>
        <v>83222.100000000006</v>
      </c>
      <c r="J84" s="33" t="e">
        <f>SUM(#REF!)</f>
        <v>#REF!</v>
      </c>
      <c r="K84" s="33" t="e">
        <f>SUM(#REF!)</f>
        <v>#REF!</v>
      </c>
      <c r="L84" s="33" t="e">
        <f>SUM(#REF!)</f>
        <v>#REF!</v>
      </c>
      <c r="M84" s="33" t="e">
        <f>SUM(#REF!)</f>
        <v>#REF!</v>
      </c>
      <c r="N84" s="33" t="e">
        <f>SUM(#REF!)</f>
        <v>#REF!</v>
      </c>
      <c r="O84" s="33" t="e">
        <f>SUM(#REF!)</f>
        <v>#REF!</v>
      </c>
      <c r="P84" s="33" t="e">
        <f>SUM(#REF!)</f>
        <v>#REF!</v>
      </c>
      <c r="Q84" s="33" t="e">
        <f>SUM(#REF!)</f>
        <v>#REF!</v>
      </c>
      <c r="R84" s="33">
        <f>SUM('[1]YA DEPRECIADOS ENERO-2017'!R72:R72)</f>
        <v>0</v>
      </c>
      <c r="S84" s="33" t="e">
        <f>SUM(#REF!)</f>
        <v>#REF!</v>
      </c>
      <c r="T84" s="33">
        <f>SUM('[1]YA DEPRECIADOS ENERO-2017'!T72:T72)</f>
        <v>0</v>
      </c>
      <c r="U84" s="33" t="e">
        <f>SUM(#REF!)</f>
        <v>#REF!</v>
      </c>
      <c r="V84" s="33">
        <f>SUM('[1]YA DEPRECIADOS ENERO-2017'!V72:V72)</f>
        <v>5.1100000000000003</v>
      </c>
      <c r="W84" s="33" t="e">
        <f>SUM(#REF!)</f>
        <v>#REF!</v>
      </c>
      <c r="X84" s="33">
        <f>SUM('[1]YA DEPRECIADOS ENERO-2017'!X72:X72)</f>
        <v>158.30000000000001</v>
      </c>
      <c r="Y84" s="33">
        <f>SUM('[1]YA DEPRECIADOS ENERO-2017'!Y72:Y72)</f>
        <v>148.09</v>
      </c>
      <c r="Z84" s="33">
        <f>SUM('[1]YA DEPRECIADOS ENERO-2017'!Z72:Z72)</f>
        <v>158.30000000000001</v>
      </c>
      <c r="AA84" s="33">
        <f>SUM('[1]YA DEPRECIADOS ENERO-2017'!AA72:AA72)</f>
        <v>153.19</v>
      </c>
      <c r="AB84" s="33">
        <f>SUM('[1]YA DEPRECIADOS ENERO-2017'!AB72:AB72)</f>
        <v>158.30000000000001</v>
      </c>
      <c r="AC84" s="33">
        <f>SUM('[1]YA DEPRECIADOS ENERO-2017'!AC72:AC72)</f>
        <v>153.19</v>
      </c>
      <c r="AD84" s="33">
        <f>SUM('[1]YA DEPRECIADOS ENERO-2017'!AD72:AD72)</f>
        <v>158.30000000000001</v>
      </c>
      <c r="AE84" s="33">
        <f>SUM('[1]YA DEPRECIADOS ENERO-2017'!AE72:AE72)</f>
        <v>158.30000000000001</v>
      </c>
      <c r="AF84" s="33">
        <f>SUM('[1]YA DEPRECIADOS ENERO-2017'!AF72:AF72)</f>
        <v>153.19</v>
      </c>
      <c r="AG84" s="33">
        <f>SUM('[1]YA DEPRECIADOS ENERO-2017'!AG72:AG72)</f>
        <v>158.30000000000001</v>
      </c>
      <c r="AH84" s="33" t="e">
        <f>SUM(#REF!)</f>
        <v>#REF!</v>
      </c>
      <c r="AI84" s="33" t="e">
        <f>SUM(#REF!)</f>
        <v>#REF!</v>
      </c>
      <c r="AJ84" s="33" t="e">
        <f>SUM(#REF!)</f>
        <v>#REF!</v>
      </c>
      <c r="AK84" s="33">
        <f>SUM(AK33:AK39)</f>
        <v>0</v>
      </c>
      <c r="AL84" s="33" t="e">
        <f>SUM(#REF!)</f>
        <v>#REF!</v>
      </c>
      <c r="AM84" s="33" t="e">
        <f>SUM(#REF!)</f>
        <v>#REF!</v>
      </c>
      <c r="AN84" s="33" t="e">
        <f>SUM(#REF!)</f>
        <v>#REF!</v>
      </c>
      <c r="AO84" s="33" t="e">
        <f>SUM(#REF!)</f>
        <v>#REF!</v>
      </c>
      <c r="AP84" s="33" t="e">
        <f>SUM(#REF!)</f>
        <v>#REF!</v>
      </c>
      <c r="AQ84" s="33">
        <f>SUM(AQ33:AQ36)</f>
        <v>21.88</v>
      </c>
      <c r="AR84" s="33">
        <f>SUM(AR33:AR36)</f>
        <v>226.24</v>
      </c>
      <c r="AS84" s="33">
        <f>SUM(AS33:AS36)</f>
        <v>226.24</v>
      </c>
      <c r="AT84" s="33">
        <f>SUM(AT33:AT36)</f>
        <v>218.96</v>
      </c>
      <c r="AU84" s="33">
        <f>SUM(AU33:AU36)</f>
        <v>226.24</v>
      </c>
      <c r="AV84" s="33">
        <f>SUM(AV33:AV39)</f>
        <v>233.65</v>
      </c>
      <c r="AW84" s="33">
        <f>SUM(AW33:AW39)</f>
        <v>278.02</v>
      </c>
      <c r="AX84" s="33">
        <f>SUM(AX33:AX39)</f>
        <v>1431.23</v>
      </c>
      <c r="AY84" s="33">
        <f>SUM(AY33:AY44)</f>
        <v>1431.23</v>
      </c>
      <c r="AZ84" s="33">
        <f>SUM(AZ33:AZ39)</f>
        <v>312.58</v>
      </c>
      <c r="BA84" s="33">
        <f>SUM(BA33:BA39)</f>
        <v>282.34000000000003</v>
      </c>
      <c r="BB84" s="33">
        <f>SUM(BB33:BB39)</f>
        <v>312.58</v>
      </c>
      <c r="BC84" s="33">
        <f t="shared" ref="BC84:BI84" si="193">SUM(BC33:BC44)</f>
        <v>302.51000000000005</v>
      </c>
      <c r="BD84" s="33">
        <f t="shared" si="193"/>
        <v>314.5499999999999</v>
      </c>
      <c r="BE84" s="33">
        <f t="shared" si="193"/>
        <v>362.09</v>
      </c>
      <c r="BF84" s="33">
        <f t="shared" si="193"/>
        <v>374.13</v>
      </c>
      <c r="BG84" s="33">
        <f t="shared" si="193"/>
        <v>374.13</v>
      </c>
      <c r="BH84" s="33">
        <f t="shared" si="193"/>
        <v>362.09</v>
      </c>
      <c r="BI84" s="33">
        <f t="shared" si="193"/>
        <v>374.13</v>
      </c>
      <c r="BJ84" s="33">
        <f t="shared" ref="BJ84:BV84" si="194">SUM(BJ33:BJ50)</f>
        <v>362.09</v>
      </c>
      <c r="BK84" s="33">
        <f t="shared" si="194"/>
        <v>485.11</v>
      </c>
      <c r="BL84" s="33">
        <f t="shared" si="194"/>
        <v>4218.329999999999</v>
      </c>
      <c r="BM84" s="33">
        <f t="shared" si="194"/>
        <v>5649.5599999999995</v>
      </c>
      <c r="BN84" s="33">
        <f t="shared" si="194"/>
        <v>619.72</v>
      </c>
      <c r="BO84" s="33">
        <f t="shared" si="194"/>
        <v>559.74</v>
      </c>
      <c r="BP84" s="33">
        <f t="shared" si="194"/>
        <v>619.72</v>
      </c>
      <c r="BQ84" s="33">
        <f t="shared" si="194"/>
        <v>599.75</v>
      </c>
      <c r="BR84" s="33">
        <f t="shared" si="194"/>
        <v>619.72</v>
      </c>
      <c r="BS84" s="33">
        <f t="shared" si="194"/>
        <v>599.75</v>
      </c>
      <c r="BT84" s="33">
        <f t="shared" si="194"/>
        <v>619.72</v>
      </c>
      <c r="BU84" s="33">
        <f t="shared" si="194"/>
        <v>619.72</v>
      </c>
      <c r="BV84" s="33">
        <f t="shared" si="194"/>
        <v>599.75</v>
      </c>
      <c r="BW84" s="33">
        <f>SUM(BW33:BW51)</f>
        <v>639.03</v>
      </c>
      <c r="BX84" s="33">
        <f t="shared" ref="BX84:CD84" si="195">SUM(BX33:BX53)</f>
        <v>648.12000000000012</v>
      </c>
      <c r="BY84" s="33">
        <f t="shared" si="195"/>
        <v>705.79</v>
      </c>
      <c r="BZ84" s="33">
        <f t="shared" si="195"/>
        <v>7450.53</v>
      </c>
      <c r="CA84" s="33">
        <f t="shared" si="195"/>
        <v>13100.089999999997</v>
      </c>
      <c r="CB84" s="33">
        <f t="shared" si="195"/>
        <v>705.79</v>
      </c>
      <c r="CC84" s="33">
        <f t="shared" si="195"/>
        <v>660.28999999999974</v>
      </c>
      <c r="CD84" s="33">
        <f t="shared" si="195"/>
        <v>705.79</v>
      </c>
      <c r="CE84" s="33">
        <f>SUM(CE33:CE60)</f>
        <v>683.04</v>
      </c>
      <c r="CF84" s="33">
        <f>SUM(CF33:CF60)</f>
        <v>755.45999999999981</v>
      </c>
      <c r="CG84" s="33">
        <f>SUM(CG33:CG60)</f>
        <v>1055.69</v>
      </c>
      <c r="CH84" s="33">
        <f>SUM(CH33:CH62)</f>
        <v>1090.8899999999999</v>
      </c>
      <c r="CI84" s="33">
        <f>SUM(CI33:CI64)</f>
        <v>1144.03</v>
      </c>
      <c r="CJ84" s="33">
        <f>SUM(CJ33:CJ64)</f>
        <v>1134.77</v>
      </c>
      <c r="CK84" s="33">
        <f>SUM(CK33:CK64)</f>
        <v>1172.5999999999999</v>
      </c>
      <c r="CL84" s="33">
        <f t="shared" ref="CL84:CS84" si="196">SUM(CL33:CL72)</f>
        <v>1134.77</v>
      </c>
      <c r="CM84" s="33">
        <f t="shared" si="196"/>
        <v>1226.07</v>
      </c>
      <c r="CN84" s="33">
        <f t="shared" si="196"/>
        <v>11469.19</v>
      </c>
      <c r="CO84" s="33">
        <f t="shared" si="196"/>
        <v>24569.28000000001</v>
      </c>
      <c r="CP84" s="33">
        <f t="shared" si="196"/>
        <v>1273.5399999999997</v>
      </c>
      <c r="CQ84" s="33">
        <f t="shared" si="196"/>
        <v>1150.2699999999995</v>
      </c>
      <c r="CR84" s="33">
        <f t="shared" si="196"/>
        <v>1273.5399999999997</v>
      </c>
      <c r="CS84" s="33">
        <f t="shared" si="196"/>
        <v>1232.46</v>
      </c>
      <c r="CT84" s="33">
        <f>SUM(CT33:CT73)</f>
        <v>1283.8599999999997</v>
      </c>
      <c r="CU84" s="33">
        <f>SUM(CU33:CU73)</f>
        <v>1244.3700000000001</v>
      </c>
      <c r="CV84" s="33">
        <f>SUM(CV33:CV73)</f>
        <v>1285.8499999999997</v>
      </c>
      <c r="CW84" s="33">
        <f>SUM(CW33:CW75)</f>
        <v>1291.3199999999997</v>
      </c>
      <c r="CX84" s="33">
        <f>SUM(CX33:CX75)</f>
        <v>1271.74</v>
      </c>
      <c r="CY84" s="33">
        <f>SUM(CY33:CY77)</f>
        <v>1329.3199999999997</v>
      </c>
      <c r="CZ84" s="33">
        <f t="shared" ref="CZ84:DE84" si="197">SUM(CZ33:CZ78)</f>
        <v>1302.9399999999998</v>
      </c>
      <c r="DA84" s="33">
        <f t="shared" si="197"/>
        <v>1354.6499999999996</v>
      </c>
      <c r="DB84" s="33">
        <f t="shared" si="197"/>
        <v>15293.860000000004</v>
      </c>
      <c r="DC84" s="33">
        <f t="shared" si="197"/>
        <v>39863.14</v>
      </c>
      <c r="DD84" s="33">
        <f t="shared" si="197"/>
        <v>1354.6499999999996</v>
      </c>
      <c r="DE84" s="33">
        <f t="shared" si="197"/>
        <v>1223.5399999999993</v>
      </c>
      <c r="DF84" s="33">
        <f>SUM(DF33:DF80)</f>
        <v>1366.9899999999998</v>
      </c>
      <c r="DG84" s="33">
        <f>SUM(DG33:DG80)</f>
        <v>1331.5099999999998</v>
      </c>
      <c r="DH84" s="33">
        <f>SUM(DH33:DH80)</f>
        <v>1375.8899999999994</v>
      </c>
      <c r="DI84" s="33">
        <f>SUM(DI33:DI83)</f>
        <v>1321.1699999999994</v>
      </c>
      <c r="DJ84" s="33"/>
      <c r="DK84" s="33"/>
      <c r="DL84" s="33"/>
      <c r="DM84" s="33"/>
      <c r="DN84" s="33"/>
      <c r="DO84" s="33"/>
      <c r="DP84" s="33">
        <f>SUM(DP33:DP83)</f>
        <v>7973.7500000000018</v>
      </c>
      <c r="DQ84" s="33">
        <f>SUM(DQ33:DQ83)</f>
        <v>47836.889999999985</v>
      </c>
      <c r="DR84" s="33">
        <f>SUM(DR33:DR83)</f>
        <v>44632.109999999993</v>
      </c>
    </row>
    <row r="85" spans="2:129" ht="8.25">
      <c r="B85" s="44" t="s">
        <v>238</v>
      </c>
      <c r="C85" s="64"/>
      <c r="D85" s="45"/>
      <c r="E85" s="44"/>
      <c r="F85" s="44"/>
      <c r="G85" s="34"/>
      <c r="H85" s="34"/>
      <c r="I85" s="34"/>
      <c r="J85" s="34"/>
      <c r="K85" s="34"/>
      <c r="L85" s="34"/>
      <c r="M85" s="34"/>
      <c r="N85" s="34"/>
      <c r="O85" s="22"/>
      <c r="P85" s="34"/>
      <c r="Q85" s="34"/>
      <c r="R85" s="21"/>
      <c r="S85" s="21"/>
      <c r="T85" s="21"/>
      <c r="U85" s="21"/>
      <c r="V85" s="21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34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</row>
    <row r="86" spans="2:129" ht="20.100000000000001" customHeight="1">
      <c r="B86" s="35">
        <v>41534</v>
      </c>
      <c r="C86" s="36" t="s">
        <v>239</v>
      </c>
      <c r="D86" s="47" t="s">
        <v>240</v>
      </c>
      <c r="E86" s="47" t="s">
        <v>121</v>
      </c>
      <c r="F86" s="36" t="s">
        <v>241</v>
      </c>
      <c r="G86" s="21">
        <v>1132.69</v>
      </c>
      <c r="H86" s="21">
        <f t="shared" ref="H86:H149" si="198">(G86*0.1)</f>
        <v>113.26900000000001</v>
      </c>
      <c r="I86" s="21">
        <f t="shared" ref="I86:I149" si="199">(G86*0.9)</f>
        <v>1019.421</v>
      </c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>
        <f t="shared" ref="AJ86:AJ91" si="200">SUM(X86:AI86)</f>
        <v>0</v>
      </c>
      <c r="AK86" s="21">
        <v>0</v>
      </c>
      <c r="AL86" s="21"/>
      <c r="AM86" s="21"/>
      <c r="AN86" s="21"/>
      <c r="AO86" s="21"/>
      <c r="AP86" s="21"/>
      <c r="AQ86" s="21"/>
      <c r="AR86" s="21"/>
      <c r="AS86" s="21"/>
      <c r="AT86" s="21">
        <f>ROUND((I86/5/365*13),2)</f>
        <v>7.26</v>
      </c>
      <c r="AU86" s="21">
        <f t="shared" ref="AU86:AU91" si="201">ROUND((I86/5/365*31),2)</f>
        <v>17.32</v>
      </c>
      <c r="AV86" s="21">
        <f t="shared" ref="AV86:AV91" si="202">ROUND((I86/5/365*30),2)</f>
        <v>16.760000000000002</v>
      </c>
      <c r="AW86" s="21">
        <f t="shared" ref="AW86:AW91" si="203">ROUND((I86/5/365*31),2)</f>
        <v>17.32</v>
      </c>
      <c r="AX86" s="21">
        <f t="shared" ref="AX86:AX98" si="204">SUM(AL86:AW86)</f>
        <v>58.660000000000004</v>
      </c>
      <c r="AY86" s="21">
        <f t="shared" ref="AY86:AY100" si="205">ROUND((AK86+AL86+AM86+AN86+AO86+AP86+AQ86+AR86+AS86+AT86+AU86+AV86+AW86),2)</f>
        <v>58.66</v>
      </c>
      <c r="AZ86" s="21">
        <f t="shared" ref="AZ86:AZ98" si="206">ROUND((I86/5/365*31),2)</f>
        <v>17.32</v>
      </c>
      <c r="BA86" s="21">
        <f t="shared" ref="BA86:BA98" si="207">ROUND((I86/5/365*28),2)</f>
        <v>15.64</v>
      </c>
      <c r="BB86" s="21">
        <f t="shared" ref="BB86:BB98" si="208">ROUND((I86/5/365*31),2)</f>
        <v>17.32</v>
      </c>
      <c r="BC86" s="21">
        <f t="shared" ref="BC86:BC99" si="209">ROUND((I86/5/365*30),2)</f>
        <v>16.760000000000002</v>
      </c>
      <c r="BD86" s="21">
        <f t="shared" ref="BD86:BD100" si="210">ROUND((I86/5/365*31),2)</f>
        <v>17.32</v>
      </c>
      <c r="BE86" s="21">
        <f t="shared" ref="BE86:BE100" si="211">ROUND((I86/5/365*30),2)</f>
        <v>16.760000000000002</v>
      </c>
      <c r="BF86" s="21">
        <f t="shared" ref="BF86:BF100" si="212">ROUND((I86/5/365*31),2)</f>
        <v>17.32</v>
      </c>
      <c r="BG86" s="21">
        <f t="shared" ref="BG86:BG100" si="213">ROUND((I86/5/365*31),2)</f>
        <v>17.32</v>
      </c>
      <c r="BH86" s="21">
        <f t="shared" ref="BH86:BH100" si="214">ROUND((I86/5/365*30),2)</f>
        <v>16.760000000000002</v>
      </c>
      <c r="BI86" s="21">
        <f t="shared" ref="BI86:BI100" si="215">ROUND((I86/5/365*31),2)</f>
        <v>17.32</v>
      </c>
      <c r="BJ86" s="21">
        <f t="shared" ref="BJ86:BJ100" si="216">ROUND((I86/5/365*30),2)</f>
        <v>16.760000000000002</v>
      </c>
      <c r="BK86" s="21">
        <f t="shared" ref="BK86:BK102" si="217">ROUND((I86/5/365*31),2)</f>
        <v>17.32</v>
      </c>
      <c r="BL86" s="21">
        <f t="shared" ref="BL86:BL108" si="218">SUM(AZ86:BK86)</f>
        <v>203.92</v>
      </c>
      <c r="BM86" s="21">
        <f t="shared" ref="BM86:BM109" si="219">ROUND((AY86+BL86),2)</f>
        <v>262.58</v>
      </c>
      <c r="BN86" s="21">
        <f t="shared" ref="BN86:BN108" si="220">ROUND((I86/5/365*31),2)</f>
        <v>17.32</v>
      </c>
      <c r="BO86" s="21">
        <f t="shared" ref="BO86:BO109" si="221">ROUND((I86/5/365*28),2)</f>
        <v>15.64</v>
      </c>
      <c r="BP86" s="21">
        <f t="shared" ref="BP86:BP110" si="222">ROUND((I86/5/365*31),2)</f>
        <v>17.32</v>
      </c>
      <c r="BQ86" s="21">
        <f t="shared" ref="BQ86:BQ110" si="223">ROUND((I86/5/365*30),2)</f>
        <v>16.760000000000002</v>
      </c>
      <c r="BR86" s="21">
        <f t="shared" ref="BR86:BR110" si="224">ROUND((I86/5/365*31),2)</f>
        <v>17.32</v>
      </c>
      <c r="BS86" s="21">
        <f t="shared" ref="BS86:BS110" si="225">ROUND((I86/5/365*30),2)</f>
        <v>16.760000000000002</v>
      </c>
      <c r="BT86" s="21">
        <f t="shared" ref="BT86:BT122" si="226">ROUND((I86/5/365*31),2)</f>
        <v>17.32</v>
      </c>
      <c r="BU86" s="21">
        <f t="shared" ref="BU86:BU122" si="227">ROUND((I86/5/365*31),2)</f>
        <v>17.32</v>
      </c>
      <c r="BV86" s="21">
        <f t="shared" ref="BV86:BV122" si="228">ROUND((I86/5/365*30),2)</f>
        <v>16.760000000000002</v>
      </c>
      <c r="BW86" s="21">
        <f t="shared" ref="BW86:BW125" si="229">ROUND((I86/5/365*31),2)</f>
        <v>17.32</v>
      </c>
      <c r="BX86" s="21">
        <f t="shared" ref="BX86:BX125" si="230">ROUND((I86/5/365*30),2)</f>
        <v>16.760000000000002</v>
      </c>
      <c r="BY86" s="21">
        <f t="shared" ref="BY86:BY126" si="231">ROUND((I86/5/365*31),2)</f>
        <v>17.32</v>
      </c>
      <c r="BZ86" s="21">
        <f t="shared" ref="BZ86:BZ126" si="232">SUM(BN86:BY86)</f>
        <v>203.92</v>
      </c>
      <c r="CA86" s="21">
        <f t="shared" ref="CA86:CA126" si="233">ROUND((BM86+BZ86),2)</f>
        <v>466.5</v>
      </c>
      <c r="CB86" s="21">
        <f t="shared" ref="CB86:CB126" si="234">ROUND((I86/5/365*31),2)</f>
        <v>17.32</v>
      </c>
      <c r="CC86" s="21">
        <f t="shared" ref="CC86:CC126" si="235">ROUND((I86/5/365*29),2)</f>
        <v>16.2</v>
      </c>
      <c r="CD86" s="21">
        <f t="shared" ref="CD86:CD126" si="236">ROUND((I86/5/365*31),2)</f>
        <v>17.32</v>
      </c>
      <c r="CE86" s="21">
        <f t="shared" ref="CE86:CE126" si="237">ROUND((I86/5/365*30),2)</f>
        <v>16.760000000000002</v>
      </c>
      <c r="CF86" s="21">
        <f t="shared" ref="CF86:CF126" si="238">ROUND((I86/5/365*31),2)</f>
        <v>17.32</v>
      </c>
      <c r="CG86" s="21">
        <f t="shared" ref="CG86:CG126" si="239">ROUND((I86/5/365*30),2)</f>
        <v>16.760000000000002</v>
      </c>
      <c r="CH86" s="21">
        <f t="shared" ref="CH86:CH126" si="240">ROUND((I86/5/365*31),2)</f>
        <v>17.32</v>
      </c>
      <c r="CI86" s="21">
        <f t="shared" ref="CI86:CI126" si="241">ROUND((I86/5/365*31),2)</f>
        <v>17.32</v>
      </c>
      <c r="CJ86" s="21">
        <f t="shared" ref="CJ86:CJ126" si="242">ROUND((I86/5/365*30),2)</f>
        <v>16.760000000000002</v>
      </c>
      <c r="CK86" s="21">
        <f t="shared" ref="CK86:CK126" si="243">ROUND((I86/5/365*31),2)</f>
        <v>17.32</v>
      </c>
      <c r="CL86" s="21">
        <f t="shared" ref="CL86:CL126" si="244">ROUND((I86/5/365*30),2)</f>
        <v>16.760000000000002</v>
      </c>
      <c r="CM86" s="21">
        <f t="shared" ref="CM86:CM129" si="245">ROUND((I86/5/365*31),2)</f>
        <v>17.32</v>
      </c>
      <c r="CN86" s="21">
        <f t="shared" ref="CN86:CN132" si="246">SUM(CB86:CM86)</f>
        <v>204.47999999999996</v>
      </c>
      <c r="CO86" s="26">
        <f t="shared" ref="CO86:CO132" si="247">ROUND((CA86+CN86),2)</f>
        <v>670.98</v>
      </c>
      <c r="CP86" s="21">
        <f t="shared" ref="CP86:CP132" si="248">ROUND((I86/5/365*31),2)</f>
        <v>17.32</v>
      </c>
      <c r="CQ86" s="21">
        <f t="shared" ref="CQ86:CQ132" si="249">ROUND((I86/5/365*28),2)</f>
        <v>15.64</v>
      </c>
      <c r="CR86" s="21">
        <f t="shared" ref="CR86:CR132" si="250">ROUND((I86/5/365*31),2)</f>
        <v>17.32</v>
      </c>
      <c r="CS86" s="21">
        <f t="shared" ref="CS86:CS132" si="251">ROUND((I86/5/365*30),2)</f>
        <v>16.760000000000002</v>
      </c>
      <c r="CT86" s="27">
        <f t="shared" ref="CT86:CT132" si="252">ROUND((I86/5/365*31),2)</f>
        <v>17.32</v>
      </c>
      <c r="CU86" s="21">
        <f t="shared" ref="CU86:CU132" si="253">ROUND((I86/5/365*30),2)</f>
        <v>16.760000000000002</v>
      </c>
      <c r="CV86" s="21">
        <f t="shared" ref="CV86:CV139" si="254">ROUND((I86/5/365*31),2)</f>
        <v>17.32</v>
      </c>
      <c r="CW86" s="21">
        <f t="shared" ref="CW86:CW149" si="255">ROUND((I86/5/365*31),2)</f>
        <v>17.32</v>
      </c>
      <c r="CX86" s="21">
        <f t="shared" ref="CX86:CX149" si="256">ROUND((I86/5/365*30),2)</f>
        <v>16.760000000000002</v>
      </c>
      <c r="CY86" s="21">
        <f t="shared" ref="CY86:CY149" si="257">ROUND((I86/5/365*31),2)</f>
        <v>17.32</v>
      </c>
      <c r="CZ86" s="21">
        <f t="shared" ref="CZ86:CZ149" si="258">ROUND((I86/5/365*30),2)</f>
        <v>16.760000000000002</v>
      </c>
      <c r="DA86" s="21">
        <f t="shared" ref="DA86:DA149" si="259">ROUND((I86/5/365*31),2)</f>
        <v>17.32</v>
      </c>
      <c r="DB86" s="26">
        <f t="shared" ref="DB86:DB117" si="260">SUM(CP86:DA86)</f>
        <v>203.92</v>
      </c>
      <c r="DC86" s="26">
        <f t="shared" ref="DC86:DC149" si="261">ROUND((CO86+DB86),2)</f>
        <v>874.9</v>
      </c>
      <c r="DD86" s="21">
        <f t="shared" ref="DD86:DD149" si="262">ROUND((I86/5/365*31),2)</f>
        <v>17.32</v>
      </c>
      <c r="DE86" s="21">
        <f>ROUND((I86/5/365*28),2)</f>
        <v>15.64</v>
      </c>
      <c r="DF86" s="21">
        <f>ROUND((I86/5/365*31),2)</f>
        <v>17.32</v>
      </c>
      <c r="DG86" s="21">
        <f>ROUND((I86/5/365*30),2)</f>
        <v>16.760000000000002</v>
      </c>
      <c r="DH86" s="21">
        <f t="shared" ref="DH86:DH149" si="263">ROUND((I86/5/365*31),2)</f>
        <v>17.32</v>
      </c>
      <c r="DI86" s="21">
        <f t="shared" ref="DI86:DI149" si="264">ROUND((I86/5/365*30),2)</f>
        <v>16.760000000000002</v>
      </c>
      <c r="DJ86" s="26"/>
      <c r="DK86" s="26"/>
      <c r="DL86" s="26"/>
      <c r="DM86" s="26"/>
      <c r="DN86" s="26"/>
      <c r="DO86" s="26"/>
      <c r="DP86" s="26">
        <f t="shared" ref="DP86:DP117" si="265">SUM(DD86:DO86)</f>
        <v>101.12000000000002</v>
      </c>
      <c r="DQ86" s="21">
        <f t="shared" ref="DQ86:DQ149" si="266">ROUND((DC86+DD86+DE86+DF86+DG86+DH86+DI86+DJ86+DK86+DL86+DM86+DN86+DO86),2)</f>
        <v>976.02</v>
      </c>
      <c r="DR86" s="21">
        <f t="shared" ref="DR86:DR149" si="267">SUM(G86-DQ86)</f>
        <v>156.67000000000007</v>
      </c>
    </row>
    <row r="87" spans="2:129" ht="20.100000000000001" customHeight="1">
      <c r="B87" s="35">
        <v>41534</v>
      </c>
      <c r="C87" s="36" t="s">
        <v>239</v>
      </c>
      <c r="D87" s="47" t="s">
        <v>242</v>
      </c>
      <c r="E87" s="47" t="s">
        <v>121</v>
      </c>
      <c r="F87" s="36" t="s">
        <v>243</v>
      </c>
      <c r="G87" s="21">
        <v>1132.69</v>
      </c>
      <c r="H87" s="21">
        <f t="shared" si="198"/>
        <v>113.26900000000001</v>
      </c>
      <c r="I87" s="21">
        <f t="shared" si="199"/>
        <v>1019.421</v>
      </c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>
        <f t="shared" si="200"/>
        <v>0</v>
      </c>
      <c r="AK87" s="21">
        <v>0</v>
      </c>
      <c r="AL87" s="21"/>
      <c r="AM87" s="21"/>
      <c r="AN87" s="21"/>
      <c r="AO87" s="21"/>
      <c r="AP87" s="21"/>
      <c r="AQ87" s="21"/>
      <c r="AR87" s="21"/>
      <c r="AS87" s="21"/>
      <c r="AT87" s="21">
        <f>ROUND((I87/5/365*13),2)</f>
        <v>7.26</v>
      </c>
      <c r="AU87" s="21">
        <f t="shared" si="201"/>
        <v>17.32</v>
      </c>
      <c r="AV87" s="21">
        <f t="shared" si="202"/>
        <v>16.760000000000002</v>
      </c>
      <c r="AW87" s="21">
        <f t="shared" si="203"/>
        <v>17.32</v>
      </c>
      <c r="AX87" s="21">
        <f t="shared" si="204"/>
        <v>58.660000000000004</v>
      </c>
      <c r="AY87" s="21">
        <f t="shared" si="205"/>
        <v>58.66</v>
      </c>
      <c r="AZ87" s="21">
        <f t="shared" si="206"/>
        <v>17.32</v>
      </c>
      <c r="BA87" s="21">
        <f t="shared" si="207"/>
        <v>15.64</v>
      </c>
      <c r="BB87" s="21">
        <f t="shared" si="208"/>
        <v>17.32</v>
      </c>
      <c r="BC87" s="21">
        <f t="shared" si="209"/>
        <v>16.760000000000002</v>
      </c>
      <c r="BD87" s="21">
        <f t="shared" si="210"/>
        <v>17.32</v>
      </c>
      <c r="BE87" s="21">
        <f t="shared" si="211"/>
        <v>16.760000000000002</v>
      </c>
      <c r="BF87" s="21">
        <f t="shared" si="212"/>
        <v>17.32</v>
      </c>
      <c r="BG87" s="21">
        <f t="shared" si="213"/>
        <v>17.32</v>
      </c>
      <c r="BH87" s="21">
        <f t="shared" si="214"/>
        <v>16.760000000000002</v>
      </c>
      <c r="BI87" s="21">
        <f t="shared" si="215"/>
        <v>17.32</v>
      </c>
      <c r="BJ87" s="21">
        <f t="shared" si="216"/>
        <v>16.760000000000002</v>
      </c>
      <c r="BK87" s="21">
        <f t="shared" si="217"/>
        <v>17.32</v>
      </c>
      <c r="BL87" s="21">
        <f t="shared" si="218"/>
        <v>203.92</v>
      </c>
      <c r="BM87" s="21">
        <f t="shared" si="219"/>
        <v>262.58</v>
      </c>
      <c r="BN87" s="21">
        <f t="shared" si="220"/>
        <v>17.32</v>
      </c>
      <c r="BO87" s="21">
        <f t="shared" si="221"/>
        <v>15.64</v>
      </c>
      <c r="BP87" s="21">
        <f t="shared" si="222"/>
        <v>17.32</v>
      </c>
      <c r="BQ87" s="21">
        <f t="shared" si="223"/>
        <v>16.760000000000002</v>
      </c>
      <c r="BR87" s="21">
        <f t="shared" si="224"/>
        <v>17.32</v>
      </c>
      <c r="BS87" s="21">
        <f t="shared" si="225"/>
        <v>16.760000000000002</v>
      </c>
      <c r="BT87" s="21">
        <f t="shared" si="226"/>
        <v>17.32</v>
      </c>
      <c r="BU87" s="21">
        <f t="shared" si="227"/>
        <v>17.32</v>
      </c>
      <c r="BV87" s="21">
        <f t="shared" si="228"/>
        <v>16.760000000000002</v>
      </c>
      <c r="BW87" s="21">
        <f t="shared" si="229"/>
        <v>17.32</v>
      </c>
      <c r="BX87" s="21">
        <f t="shared" si="230"/>
        <v>16.760000000000002</v>
      </c>
      <c r="BY87" s="21">
        <f t="shared" si="231"/>
        <v>17.32</v>
      </c>
      <c r="BZ87" s="21">
        <f t="shared" si="232"/>
        <v>203.92</v>
      </c>
      <c r="CA87" s="21">
        <f t="shared" si="233"/>
        <v>466.5</v>
      </c>
      <c r="CB87" s="21">
        <f t="shared" si="234"/>
        <v>17.32</v>
      </c>
      <c r="CC87" s="21">
        <f t="shared" si="235"/>
        <v>16.2</v>
      </c>
      <c r="CD87" s="21">
        <f t="shared" si="236"/>
        <v>17.32</v>
      </c>
      <c r="CE87" s="21">
        <f t="shared" si="237"/>
        <v>16.760000000000002</v>
      </c>
      <c r="CF87" s="21">
        <f t="shared" si="238"/>
        <v>17.32</v>
      </c>
      <c r="CG87" s="21">
        <f t="shared" si="239"/>
        <v>16.760000000000002</v>
      </c>
      <c r="CH87" s="21">
        <f t="shared" si="240"/>
        <v>17.32</v>
      </c>
      <c r="CI87" s="21">
        <f t="shared" si="241"/>
        <v>17.32</v>
      </c>
      <c r="CJ87" s="21">
        <f t="shared" si="242"/>
        <v>16.760000000000002</v>
      </c>
      <c r="CK87" s="21">
        <f t="shared" si="243"/>
        <v>17.32</v>
      </c>
      <c r="CL87" s="21">
        <f t="shared" si="244"/>
        <v>16.760000000000002</v>
      </c>
      <c r="CM87" s="21">
        <f t="shared" si="245"/>
        <v>17.32</v>
      </c>
      <c r="CN87" s="21">
        <f t="shared" si="246"/>
        <v>204.47999999999996</v>
      </c>
      <c r="CO87" s="26">
        <f t="shared" si="247"/>
        <v>670.98</v>
      </c>
      <c r="CP87" s="21">
        <f t="shared" si="248"/>
        <v>17.32</v>
      </c>
      <c r="CQ87" s="21">
        <f t="shared" si="249"/>
        <v>15.64</v>
      </c>
      <c r="CR87" s="21">
        <f t="shared" si="250"/>
        <v>17.32</v>
      </c>
      <c r="CS87" s="21">
        <f t="shared" si="251"/>
        <v>16.760000000000002</v>
      </c>
      <c r="CT87" s="27">
        <f t="shared" si="252"/>
        <v>17.32</v>
      </c>
      <c r="CU87" s="21">
        <f t="shared" si="253"/>
        <v>16.760000000000002</v>
      </c>
      <c r="CV87" s="21">
        <f t="shared" si="254"/>
        <v>17.32</v>
      </c>
      <c r="CW87" s="21">
        <f t="shared" si="255"/>
        <v>17.32</v>
      </c>
      <c r="CX87" s="21">
        <f t="shared" si="256"/>
        <v>16.760000000000002</v>
      </c>
      <c r="CY87" s="21">
        <f t="shared" si="257"/>
        <v>17.32</v>
      </c>
      <c r="CZ87" s="21">
        <f t="shared" si="258"/>
        <v>16.760000000000002</v>
      </c>
      <c r="DA87" s="21">
        <f t="shared" si="259"/>
        <v>17.32</v>
      </c>
      <c r="DB87" s="26">
        <f t="shared" si="260"/>
        <v>203.92</v>
      </c>
      <c r="DC87" s="26">
        <f t="shared" si="261"/>
        <v>874.9</v>
      </c>
      <c r="DD87" s="21">
        <f t="shared" si="262"/>
        <v>17.32</v>
      </c>
      <c r="DE87" s="21">
        <f t="shared" ref="DE87:DE150" si="268">ROUND((I87/5/365*28),2)</f>
        <v>15.64</v>
      </c>
      <c r="DF87" s="21">
        <f t="shared" ref="DF87:DF150" si="269">ROUND((I87/5/365*31),2)</f>
        <v>17.32</v>
      </c>
      <c r="DG87" s="21">
        <f t="shared" ref="DG87:DG150" si="270">ROUND((I87/5/365*30),2)</f>
        <v>16.760000000000002</v>
      </c>
      <c r="DH87" s="21">
        <f t="shared" si="263"/>
        <v>17.32</v>
      </c>
      <c r="DI87" s="21">
        <f t="shared" si="264"/>
        <v>16.760000000000002</v>
      </c>
      <c r="DJ87" s="26"/>
      <c r="DK87" s="26"/>
      <c r="DL87" s="26"/>
      <c r="DM87" s="26"/>
      <c r="DN87" s="26"/>
      <c r="DO87" s="26"/>
      <c r="DP87" s="26">
        <f t="shared" si="265"/>
        <v>101.12000000000002</v>
      </c>
      <c r="DQ87" s="21">
        <f t="shared" si="266"/>
        <v>976.02</v>
      </c>
      <c r="DR87" s="21">
        <f t="shared" si="267"/>
        <v>156.67000000000007</v>
      </c>
    </row>
    <row r="88" spans="2:129" ht="20.100000000000001" customHeight="1">
      <c r="B88" s="35">
        <v>41534</v>
      </c>
      <c r="C88" s="36" t="s">
        <v>239</v>
      </c>
      <c r="D88" s="47" t="s">
        <v>244</v>
      </c>
      <c r="E88" s="47" t="s">
        <v>121</v>
      </c>
      <c r="F88" s="36" t="s">
        <v>245</v>
      </c>
      <c r="G88" s="21">
        <v>1132.69</v>
      </c>
      <c r="H88" s="21">
        <f t="shared" si="198"/>
        <v>113.26900000000001</v>
      </c>
      <c r="I88" s="21">
        <f t="shared" si="199"/>
        <v>1019.421</v>
      </c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>
        <f t="shared" si="200"/>
        <v>0</v>
      </c>
      <c r="AK88" s="21">
        <v>0</v>
      </c>
      <c r="AL88" s="21"/>
      <c r="AM88" s="21"/>
      <c r="AN88" s="21"/>
      <c r="AO88" s="21"/>
      <c r="AP88" s="21"/>
      <c r="AQ88" s="21"/>
      <c r="AR88" s="21"/>
      <c r="AS88" s="21"/>
      <c r="AT88" s="21">
        <f>ROUND((I88/5/365*13),2)</f>
        <v>7.26</v>
      </c>
      <c r="AU88" s="21">
        <f t="shared" si="201"/>
        <v>17.32</v>
      </c>
      <c r="AV88" s="21">
        <f t="shared" si="202"/>
        <v>16.760000000000002</v>
      </c>
      <c r="AW88" s="21">
        <f t="shared" si="203"/>
        <v>17.32</v>
      </c>
      <c r="AX88" s="21">
        <f t="shared" si="204"/>
        <v>58.660000000000004</v>
      </c>
      <c r="AY88" s="21">
        <f t="shared" si="205"/>
        <v>58.66</v>
      </c>
      <c r="AZ88" s="21">
        <f t="shared" si="206"/>
        <v>17.32</v>
      </c>
      <c r="BA88" s="21">
        <f t="shared" si="207"/>
        <v>15.64</v>
      </c>
      <c r="BB88" s="21">
        <f t="shared" si="208"/>
        <v>17.32</v>
      </c>
      <c r="BC88" s="21">
        <f t="shared" si="209"/>
        <v>16.760000000000002</v>
      </c>
      <c r="BD88" s="21">
        <f t="shared" si="210"/>
        <v>17.32</v>
      </c>
      <c r="BE88" s="21">
        <f t="shared" si="211"/>
        <v>16.760000000000002</v>
      </c>
      <c r="BF88" s="21">
        <f t="shared" si="212"/>
        <v>17.32</v>
      </c>
      <c r="BG88" s="21">
        <f t="shared" si="213"/>
        <v>17.32</v>
      </c>
      <c r="BH88" s="21">
        <f t="shared" si="214"/>
        <v>16.760000000000002</v>
      </c>
      <c r="BI88" s="21">
        <f t="shared" si="215"/>
        <v>17.32</v>
      </c>
      <c r="BJ88" s="21">
        <f t="shared" si="216"/>
        <v>16.760000000000002</v>
      </c>
      <c r="BK88" s="21">
        <f t="shared" si="217"/>
        <v>17.32</v>
      </c>
      <c r="BL88" s="21">
        <f t="shared" si="218"/>
        <v>203.92</v>
      </c>
      <c r="BM88" s="21">
        <f t="shared" si="219"/>
        <v>262.58</v>
      </c>
      <c r="BN88" s="21">
        <f t="shared" si="220"/>
        <v>17.32</v>
      </c>
      <c r="BO88" s="21">
        <f t="shared" si="221"/>
        <v>15.64</v>
      </c>
      <c r="BP88" s="21">
        <f t="shared" si="222"/>
        <v>17.32</v>
      </c>
      <c r="BQ88" s="21">
        <f t="shared" si="223"/>
        <v>16.760000000000002</v>
      </c>
      <c r="BR88" s="21">
        <f t="shared" si="224"/>
        <v>17.32</v>
      </c>
      <c r="BS88" s="21">
        <f t="shared" si="225"/>
        <v>16.760000000000002</v>
      </c>
      <c r="BT88" s="21">
        <f t="shared" si="226"/>
        <v>17.32</v>
      </c>
      <c r="BU88" s="21">
        <f t="shared" si="227"/>
        <v>17.32</v>
      </c>
      <c r="BV88" s="21">
        <f t="shared" si="228"/>
        <v>16.760000000000002</v>
      </c>
      <c r="BW88" s="21">
        <f t="shared" si="229"/>
        <v>17.32</v>
      </c>
      <c r="BX88" s="21">
        <f t="shared" si="230"/>
        <v>16.760000000000002</v>
      </c>
      <c r="BY88" s="21">
        <f t="shared" si="231"/>
        <v>17.32</v>
      </c>
      <c r="BZ88" s="21">
        <f t="shared" si="232"/>
        <v>203.92</v>
      </c>
      <c r="CA88" s="21">
        <f t="shared" si="233"/>
        <v>466.5</v>
      </c>
      <c r="CB88" s="21">
        <f t="shared" si="234"/>
        <v>17.32</v>
      </c>
      <c r="CC88" s="21">
        <f t="shared" si="235"/>
        <v>16.2</v>
      </c>
      <c r="CD88" s="21">
        <f t="shared" si="236"/>
        <v>17.32</v>
      </c>
      <c r="CE88" s="21">
        <f t="shared" si="237"/>
        <v>16.760000000000002</v>
      </c>
      <c r="CF88" s="21">
        <f t="shared" si="238"/>
        <v>17.32</v>
      </c>
      <c r="CG88" s="21">
        <f t="shared" si="239"/>
        <v>16.760000000000002</v>
      </c>
      <c r="CH88" s="21">
        <f t="shared" si="240"/>
        <v>17.32</v>
      </c>
      <c r="CI88" s="21">
        <f t="shared" si="241"/>
        <v>17.32</v>
      </c>
      <c r="CJ88" s="21">
        <f t="shared" si="242"/>
        <v>16.760000000000002</v>
      </c>
      <c r="CK88" s="21">
        <f t="shared" si="243"/>
        <v>17.32</v>
      </c>
      <c r="CL88" s="21">
        <f t="shared" si="244"/>
        <v>16.760000000000002</v>
      </c>
      <c r="CM88" s="21">
        <f t="shared" si="245"/>
        <v>17.32</v>
      </c>
      <c r="CN88" s="21">
        <f t="shared" si="246"/>
        <v>204.47999999999996</v>
      </c>
      <c r="CO88" s="26">
        <f t="shared" si="247"/>
        <v>670.98</v>
      </c>
      <c r="CP88" s="21">
        <f t="shared" si="248"/>
        <v>17.32</v>
      </c>
      <c r="CQ88" s="21">
        <f t="shared" si="249"/>
        <v>15.64</v>
      </c>
      <c r="CR88" s="21">
        <f t="shared" si="250"/>
        <v>17.32</v>
      </c>
      <c r="CS88" s="21">
        <f t="shared" si="251"/>
        <v>16.760000000000002</v>
      </c>
      <c r="CT88" s="27">
        <f t="shared" si="252"/>
        <v>17.32</v>
      </c>
      <c r="CU88" s="21">
        <f t="shared" si="253"/>
        <v>16.760000000000002</v>
      </c>
      <c r="CV88" s="21">
        <f t="shared" si="254"/>
        <v>17.32</v>
      </c>
      <c r="CW88" s="21">
        <f t="shared" si="255"/>
        <v>17.32</v>
      </c>
      <c r="CX88" s="21">
        <f t="shared" si="256"/>
        <v>16.760000000000002</v>
      </c>
      <c r="CY88" s="21">
        <f t="shared" si="257"/>
        <v>17.32</v>
      </c>
      <c r="CZ88" s="21">
        <f t="shared" si="258"/>
        <v>16.760000000000002</v>
      </c>
      <c r="DA88" s="21">
        <f t="shared" si="259"/>
        <v>17.32</v>
      </c>
      <c r="DB88" s="26">
        <f t="shared" si="260"/>
        <v>203.92</v>
      </c>
      <c r="DC88" s="26">
        <f t="shared" si="261"/>
        <v>874.9</v>
      </c>
      <c r="DD88" s="21">
        <f t="shared" si="262"/>
        <v>17.32</v>
      </c>
      <c r="DE88" s="21">
        <f t="shared" si="268"/>
        <v>15.64</v>
      </c>
      <c r="DF88" s="21">
        <f t="shared" si="269"/>
        <v>17.32</v>
      </c>
      <c r="DG88" s="21">
        <f t="shared" si="270"/>
        <v>16.760000000000002</v>
      </c>
      <c r="DH88" s="21">
        <f t="shared" si="263"/>
        <v>17.32</v>
      </c>
      <c r="DI88" s="21">
        <f t="shared" si="264"/>
        <v>16.760000000000002</v>
      </c>
      <c r="DJ88" s="26"/>
      <c r="DK88" s="26"/>
      <c r="DL88" s="26"/>
      <c r="DM88" s="26"/>
      <c r="DN88" s="26"/>
      <c r="DO88" s="26"/>
      <c r="DP88" s="26">
        <f t="shared" si="265"/>
        <v>101.12000000000002</v>
      </c>
      <c r="DQ88" s="21">
        <f t="shared" si="266"/>
        <v>976.02</v>
      </c>
      <c r="DR88" s="21">
        <f t="shared" si="267"/>
        <v>156.67000000000007</v>
      </c>
    </row>
    <row r="89" spans="2:129" ht="20.100000000000001" customHeight="1">
      <c r="B89" s="35">
        <v>41534</v>
      </c>
      <c r="C89" s="36" t="s">
        <v>246</v>
      </c>
      <c r="D89" s="47" t="s">
        <v>247</v>
      </c>
      <c r="E89" s="47" t="s">
        <v>121</v>
      </c>
      <c r="F89" s="36" t="s">
        <v>248</v>
      </c>
      <c r="G89" s="21">
        <v>2558.08</v>
      </c>
      <c r="H89" s="21">
        <f t="shared" si="198"/>
        <v>255.80799999999999</v>
      </c>
      <c r="I89" s="21">
        <f t="shared" si="199"/>
        <v>2302.2719999999999</v>
      </c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>
        <f t="shared" si="200"/>
        <v>0</v>
      </c>
      <c r="AK89" s="21">
        <v>0</v>
      </c>
      <c r="AL89" s="21"/>
      <c r="AM89" s="21"/>
      <c r="AN89" s="21"/>
      <c r="AO89" s="21"/>
      <c r="AP89" s="21"/>
      <c r="AQ89" s="21"/>
      <c r="AR89" s="21"/>
      <c r="AS89" s="21"/>
      <c r="AT89" s="21">
        <f>ROUND((I89/5/365*13),2)</f>
        <v>16.399999999999999</v>
      </c>
      <c r="AU89" s="21">
        <f t="shared" si="201"/>
        <v>39.11</v>
      </c>
      <c r="AV89" s="21">
        <f t="shared" si="202"/>
        <v>37.85</v>
      </c>
      <c r="AW89" s="21">
        <f t="shared" si="203"/>
        <v>39.11</v>
      </c>
      <c r="AX89" s="21">
        <f t="shared" si="204"/>
        <v>132.47</v>
      </c>
      <c r="AY89" s="21">
        <f t="shared" si="205"/>
        <v>132.47</v>
      </c>
      <c r="AZ89" s="21">
        <f t="shared" si="206"/>
        <v>39.11</v>
      </c>
      <c r="BA89" s="21">
        <f t="shared" si="207"/>
        <v>35.32</v>
      </c>
      <c r="BB89" s="21">
        <f t="shared" si="208"/>
        <v>39.11</v>
      </c>
      <c r="BC89" s="21">
        <f t="shared" si="209"/>
        <v>37.85</v>
      </c>
      <c r="BD89" s="21">
        <f t="shared" si="210"/>
        <v>39.11</v>
      </c>
      <c r="BE89" s="21">
        <f t="shared" si="211"/>
        <v>37.85</v>
      </c>
      <c r="BF89" s="21">
        <f t="shared" si="212"/>
        <v>39.11</v>
      </c>
      <c r="BG89" s="21">
        <f t="shared" si="213"/>
        <v>39.11</v>
      </c>
      <c r="BH89" s="21">
        <f t="shared" si="214"/>
        <v>37.85</v>
      </c>
      <c r="BI89" s="21">
        <f t="shared" si="215"/>
        <v>39.11</v>
      </c>
      <c r="BJ89" s="21">
        <f t="shared" si="216"/>
        <v>37.85</v>
      </c>
      <c r="BK89" s="21">
        <f t="shared" si="217"/>
        <v>39.11</v>
      </c>
      <c r="BL89" s="21">
        <f t="shared" si="218"/>
        <v>460.49000000000007</v>
      </c>
      <c r="BM89" s="21">
        <f t="shared" si="219"/>
        <v>592.96</v>
      </c>
      <c r="BN89" s="21">
        <f t="shared" si="220"/>
        <v>39.11</v>
      </c>
      <c r="BO89" s="21">
        <f t="shared" si="221"/>
        <v>35.32</v>
      </c>
      <c r="BP89" s="21">
        <f t="shared" si="222"/>
        <v>39.11</v>
      </c>
      <c r="BQ89" s="21">
        <f t="shared" si="223"/>
        <v>37.85</v>
      </c>
      <c r="BR89" s="21">
        <f t="shared" si="224"/>
        <v>39.11</v>
      </c>
      <c r="BS89" s="21">
        <f t="shared" si="225"/>
        <v>37.85</v>
      </c>
      <c r="BT89" s="21">
        <f t="shared" si="226"/>
        <v>39.11</v>
      </c>
      <c r="BU89" s="21">
        <f t="shared" si="227"/>
        <v>39.11</v>
      </c>
      <c r="BV89" s="21">
        <f t="shared" si="228"/>
        <v>37.85</v>
      </c>
      <c r="BW89" s="21">
        <f t="shared" si="229"/>
        <v>39.11</v>
      </c>
      <c r="BX89" s="21">
        <f t="shared" si="230"/>
        <v>37.85</v>
      </c>
      <c r="BY89" s="21">
        <f t="shared" si="231"/>
        <v>39.11</v>
      </c>
      <c r="BZ89" s="21">
        <f t="shared" si="232"/>
        <v>460.49000000000007</v>
      </c>
      <c r="CA89" s="21">
        <f t="shared" si="233"/>
        <v>1053.45</v>
      </c>
      <c r="CB89" s="21">
        <f t="shared" si="234"/>
        <v>39.11</v>
      </c>
      <c r="CC89" s="21">
        <f t="shared" si="235"/>
        <v>36.58</v>
      </c>
      <c r="CD89" s="21">
        <f t="shared" si="236"/>
        <v>39.11</v>
      </c>
      <c r="CE89" s="21">
        <f t="shared" si="237"/>
        <v>37.85</v>
      </c>
      <c r="CF89" s="21">
        <f t="shared" si="238"/>
        <v>39.11</v>
      </c>
      <c r="CG89" s="21">
        <f t="shared" si="239"/>
        <v>37.85</v>
      </c>
      <c r="CH89" s="21">
        <f t="shared" si="240"/>
        <v>39.11</v>
      </c>
      <c r="CI89" s="21">
        <f t="shared" si="241"/>
        <v>39.11</v>
      </c>
      <c r="CJ89" s="21">
        <f t="shared" si="242"/>
        <v>37.85</v>
      </c>
      <c r="CK89" s="21">
        <f t="shared" si="243"/>
        <v>39.11</v>
      </c>
      <c r="CL89" s="21">
        <f t="shared" si="244"/>
        <v>37.85</v>
      </c>
      <c r="CM89" s="21">
        <f t="shared" si="245"/>
        <v>39.11</v>
      </c>
      <c r="CN89" s="21">
        <f t="shared" si="246"/>
        <v>461.75000000000006</v>
      </c>
      <c r="CO89" s="26">
        <f t="shared" si="247"/>
        <v>1515.2</v>
      </c>
      <c r="CP89" s="21">
        <f t="shared" si="248"/>
        <v>39.11</v>
      </c>
      <c r="CQ89" s="21">
        <f t="shared" si="249"/>
        <v>35.32</v>
      </c>
      <c r="CR89" s="21">
        <f t="shared" si="250"/>
        <v>39.11</v>
      </c>
      <c r="CS89" s="21">
        <f t="shared" si="251"/>
        <v>37.85</v>
      </c>
      <c r="CT89" s="27">
        <f t="shared" si="252"/>
        <v>39.11</v>
      </c>
      <c r="CU89" s="21">
        <f t="shared" si="253"/>
        <v>37.85</v>
      </c>
      <c r="CV89" s="21">
        <f t="shared" si="254"/>
        <v>39.11</v>
      </c>
      <c r="CW89" s="21">
        <f t="shared" si="255"/>
        <v>39.11</v>
      </c>
      <c r="CX89" s="21">
        <f t="shared" si="256"/>
        <v>37.85</v>
      </c>
      <c r="CY89" s="21">
        <f t="shared" si="257"/>
        <v>39.11</v>
      </c>
      <c r="CZ89" s="21">
        <f t="shared" si="258"/>
        <v>37.85</v>
      </c>
      <c r="DA89" s="21">
        <f t="shared" si="259"/>
        <v>39.11</v>
      </c>
      <c r="DB89" s="26">
        <f t="shared" si="260"/>
        <v>460.49000000000007</v>
      </c>
      <c r="DC89" s="26">
        <f t="shared" si="261"/>
        <v>1975.69</v>
      </c>
      <c r="DD89" s="21">
        <f t="shared" si="262"/>
        <v>39.11</v>
      </c>
      <c r="DE89" s="21">
        <f t="shared" si="268"/>
        <v>35.32</v>
      </c>
      <c r="DF89" s="21">
        <f t="shared" si="269"/>
        <v>39.11</v>
      </c>
      <c r="DG89" s="21">
        <f t="shared" si="270"/>
        <v>37.85</v>
      </c>
      <c r="DH89" s="21">
        <f t="shared" si="263"/>
        <v>39.11</v>
      </c>
      <c r="DI89" s="21">
        <f t="shared" si="264"/>
        <v>37.85</v>
      </c>
      <c r="DJ89" s="26"/>
      <c r="DK89" s="26"/>
      <c r="DL89" s="26"/>
      <c r="DM89" s="26"/>
      <c r="DN89" s="26"/>
      <c r="DO89" s="26"/>
      <c r="DP89" s="26">
        <f t="shared" si="265"/>
        <v>228.35</v>
      </c>
      <c r="DQ89" s="21">
        <f t="shared" si="266"/>
        <v>2204.04</v>
      </c>
      <c r="DR89" s="21">
        <f t="shared" si="267"/>
        <v>354.03999999999996</v>
      </c>
    </row>
    <row r="90" spans="2:129" ht="135" customHeight="1">
      <c r="B90" s="35">
        <v>41547</v>
      </c>
      <c r="C90" s="36" t="s">
        <v>249</v>
      </c>
      <c r="D90" s="47" t="s">
        <v>250</v>
      </c>
      <c r="E90" s="47" t="s">
        <v>216</v>
      </c>
      <c r="F90" s="36" t="s">
        <v>251</v>
      </c>
      <c r="G90" s="21">
        <v>1398</v>
      </c>
      <c r="H90" s="21">
        <f t="shared" si="198"/>
        <v>139.80000000000001</v>
      </c>
      <c r="I90" s="21">
        <f t="shared" si="199"/>
        <v>1258.2</v>
      </c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>
        <f t="shared" si="200"/>
        <v>0</v>
      </c>
      <c r="AK90" s="21">
        <v>0</v>
      </c>
      <c r="AL90" s="21"/>
      <c r="AM90" s="21"/>
      <c r="AN90" s="21"/>
      <c r="AO90" s="21"/>
      <c r="AP90" s="21"/>
      <c r="AQ90" s="21"/>
      <c r="AR90" s="21"/>
      <c r="AS90" s="21"/>
      <c r="AT90" s="21">
        <f>ROUND((I90/5/365*1),2)</f>
        <v>0.69</v>
      </c>
      <c r="AU90" s="21">
        <f t="shared" si="201"/>
        <v>21.37</v>
      </c>
      <c r="AV90" s="21">
        <f t="shared" si="202"/>
        <v>20.68</v>
      </c>
      <c r="AW90" s="21">
        <f t="shared" si="203"/>
        <v>21.37</v>
      </c>
      <c r="AX90" s="21">
        <f t="shared" si="204"/>
        <v>64.11</v>
      </c>
      <c r="AY90" s="21">
        <f t="shared" si="205"/>
        <v>64.11</v>
      </c>
      <c r="AZ90" s="21">
        <f t="shared" si="206"/>
        <v>21.37</v>
      </c>
      <c r="BA90" s="21">
        <f t="shared" si="207"/>
        <v>19.3</v>
      </c>
      <c r="BB90" s="21">
        <f t="shared" si="208"/>
        <v>21.37</v>
      </c>
      <c r="BC90" s="21">
        <f t="shared" si="209"/>
        <v>20.68</v>
      </c>
      <c r="BD90" s="21">
        <f t="shared" si="210"/>
        <v>21.37</v>
      </c>
      <c r="BE90" s="21">
        <f t="shared" si="211"/>
        <v>20.68</v>
      </c>
      <c r="BF90" s="21">
        <f t="shared" si="212"/>
        <v>21.37</v>
      </c>
      <c r="BG90" s="21">
        <f t="shared" si="213"/>
        <v>21.37</v>
      </c>
      <c r="BH90" s="21">
        <f t="shared" si="214"/>
        <v>20.68</v>
      </c>
      <c r="BI90" s="21">
        <f t="shared" si="215"/>
        <v>21.37</v>
      </c>
      <c r="BJ90" s="21">
        <f t="shared" si="216"/>
        <v>20.68</v>
      </c>
      <c r="BK90" s="21">
        <f t="shared" si="217"/>
        <v>21.37</v>
      </c>
      <c r="BL90" s="21">
        <f t="shared" si="218"/>
        <v>251.61000000000004</v>
      </c>
      <c r="BM90" s="21">
        <f t="shared" si="219"/>
        <v>315.72000000000003</v>
      </c>
      <c r="BN90" s="21">
        <f t="shared" si="220"/>
        <v>21.37</v>
      </c>
      <c r="BO90" s="21">
        <f t="shared" si="221"/>
        <v>19.3</v>
      </c>
      <c r="BP90" s="21">
        <f t="shared" si="222"/>
        <v>21.37</v>
      </c>
      <c r="BQ90" s="21">
        <f t="shared" si="223"/>
        <v>20.68</v>
      </c>
      <c r="BR90" s="21">
        <f t="shared" si="224"/>
        <v>21.37</v>
      </c>
      <c r="BS90" s="21">
        <f t="shared" si="225"/>
        <v>20.68</v>
      </c>
      <c r="BT90" s="21">
        <f t="shared" si="226"/>
        <v>21.37</v>
      </c>
      <c r="BU90" s="21">
        <f t="shared" si="227"/>
        <v>21.37</v>
      </c>
      <c r="BV90" s="21">
        <f t="shared" si="228"/>
        <v>20.68</v>
      </c>
      <c r="BW90" s="21">
        <f t="shared" si="229"/>
        <v>21.37</v>
      </c>
      <c r="BX90" s="21">
        <f t="shared" si="230"/>
        <v>20.68</v>
      </c>
      <c r="BY90" s="21">
        <f t="shared" si="231"/>
        <v>21.37</v>
      </c>
      <c r="BZ90" s="21">
        <f t="shared" si="232"/>
        <v>251.61000000000004</v>
      </c>
      <c r="CA90" s="21">
        <f t="shared" si="233"/>
        <v>567.33000000000004</v>
      </c>
      <c r="CB90" s="21">
        <f t="shared" si="234"/>
        <v>21.37</v>
      </c>
      <c r="CC90" s="21">
        <f t="shared" si="235"/>
        <v>19.989999999999998</v>
      </c>
      <c r="CD90" s="21">
        <f t="shared" si="236"/>
        <v>21.37</v>
      </c>
      <c r="CE90" s="21">
        <f t="shared" si="237"/>
        <v>20.68</v>
      </c>
      <c r="CF90" s="21">
        <f t="shared" si="238"/>
        <v>21.37</v>
      </c>
      <c r="CG90" s="21">
        <f t="shared" si="239"/>
        <v>20.68</v>
      </c>
      <c r="CH90" s="21">
        <f t="shared" si="240"/>
        <v>21.37</v>
      </c>
      <c r="CI90" s="21">
        <f t="shared" si="241"/>
        <v>21.37</v>
      </c>
      <c r="CJ90" s="21">
        <f t="shared" si="242"/>
        <v>20.68</v>
      </c>
      <c r="CK90" s="21">
        <f t="shared" si="243"/>
        <v>21.37</v>
      </c>
      <c r="CL90" s="21">
        <f t="shared" si="244"/>
        <v>20.68</v>
      </c>
      <c r="CM90" s="21">
        <f t="shared" si="245"/>
        <v>21.37</v>
      </c>
      <c r="CN90" s="21">
        <f t="shared" si="246"/>
        <v>252.30000000000004</v>
      </c>
      <c r="CO90" s="26">
        <f t="shared" si="247"/>
        <v>819.63</v>
      </c>
      <c r="CP90" s="21">
        <f t="shared" si="248"/>
        <v>21.37</v>
      </c>
      <c r="CQ90" s="21">
        <f t="shared" si="249"/>
        <v>19.3</v>
      </c>
      <c r="CR90" s="21">
        <f t="shared" si="250"/>
        <v>21.37</v>
      </c>
      <c r="CS90" s="21">
        <f t="shared" si="251"/>
        <v>20.68</v>
      </c>
      <c r="CT90" s="27">
        <f t="shared" si="252"/>
        <v>21.37</v>
      </c>
      <c r="CU90" s="21">
        <f t="shared" si="253"/>
        <v>20.68</v>
      </c>
      <c r="CV90" s="21">
        <f t="shared" si="254"/>
        <v>21.37</v>
      </c>
      <c r="CW90" s="21">
        <f t="shared" si="255"/>
        <v>21.37</v>
      </c>
      <c r="CX90" s="21">
        <f t="shared" si="256"/>
        <v>20.68</v>
      </c>
      <c r="CY90" s="21">
        <f t="shared" si="257"/>
        <v>21.37</v>
      </c>
      <c r="CZ90" s="21">
        <f t="shared" si="258"/>
        <v>20.68</v>
      </c>
      <c r="DA90" s="21">
        <f t="shared" si="259"/>
        <v>21.37</v>
      </c>
      <c r="DB90" s="26">
        <f t="shared" si="260"/>
        <v>251.61000000000004</v>
      </c>
      <c r="DC90" s="26">
        <f t="shared" si="261"/>
        <v>1071.24</v>
      </c>
      <c r="DD90" s="21">
        <f t="shared" si="262"/>
        <v>21.37</v>
      </c>
      <c r="DE90" s="21">
        <f t="shared" si="268"/>
        <v>19.3</v>
      </c>
      <c r="DF90" s="21">
        <f t="shared" si="269"/>
        <v>21.37</v>
      </c>
      <c r="DG90" s="21">
        <f t="shared" si="270"/>
        <v>20.68</v>
      </c>
      <c r="DH90" s="21">
        <f t="shared" si="263"/>
        <v>21.37</v>
      </c>
      <c r="DI90" s="21">
        <f t="shared" si="264"/>
        <v>20.68</v>
      </c>
      <c r="DJ90" s="26"/>
      <c r="DK90" s="26"/>
      <c r="DL90" s="26"/>
      <c r="DM90" s="26"/>
      <c r="DN90" s="26"/>
      <c r="DO90" s="26"/>
      <c r="DP90" s="26">
        <f t="shared" si="265"/>
        <v>124.77000000000001</v>
      </c>
      <c r="DQ90" s="21">
        <f t="shared" si="266"/>
        <v>1196.01</v>
      </c>
      <c r="DR90" s="21">
        <f t="shared" si="267"/>
        <v>201.99</v>
      </c>
    </row>
    <row r="91" spans="2:129" ht="135.75" customHeight="1">
      <c r="B91" s="35">
        <v>41547</v>
      </c>
      <c r="C91" s="36" t="s">
        <v>249</v>
      </c>
      <c r="D91" s="47" t="s">
        <v>252</v>
      </c>
      <c r="E91" s="47" t="s">
        <v>209</v>
      </c>
      <c r="F91" s="36" t="s">
        <v>253</v>
      </c>
      <c r="G91" s="21">
        <v>1398</v>
      </c>
      <c r="H91" s="21">
        <f t="shared" si="198"/>
        <v>139.80000000000001</v>
      </c>
      <c r="I91" s="21">
        <f t="shared" si="199"/>
        <v>1258.2</v>
      </c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>
        <f t="shared" si="200"/>
        <v>0</v>
      </c>
      <c r="AK91" s="21">
        <v>0</v>
      </c>
      <c r="AL91" s="21"/>
      <c r="AM91" s="21"/>
      <c r="AN91" s="21"/>
      <c r="AO91" s="21"/>
      <c r="AP91" s="21"/>
      <c r="AQ91" s="21"/>
      <c r="AR91" s="21"/>
      <c r="AS91" s="21"/>
      <c r="AT91" s="21">
        <f>ROUND((I91/5/365*1),2)</f>
        <v>0.69</v>
      </c>
      <c r="AU91" s="21">
        <f t="shared" si="201"/>
        <v>21.37</v>
      </c>
      <c r="AV91" s="21">
        <f t="shared" si="202"/>
        <v>20.68</v>
      </c>
      <c r="AW91" s="21">
        <f t="shared" si="203"/>
        <v>21.37</v>
      </c>
      <c r="AX91" s="21">
        <f t="shared" si="204"/>
        <v>64.11</v>
      </c>
      <c r="AY91" s="21">
        <f t="shared" si="205"/>
        <v>64.11</v>
      </c>
      <c r="AZ91" s="21">
        <f t="shared" si="206"/>
        <v>21.37</v>
      </c>
      <c r="BA91" s="21">
        <f t="shared" si="207"/>
        <v>19.3</v>
      </c>
      <c r="BB91" s="21">
        <f t="shared" si="208"/>
        <v>21.37</v>
      </c>
      <c r="BC91" s="21">
        <f t="shared" si="209"/>
        <v>20.68</v>
      </c>
      <c r="BD91" s="21">
        <f t="shared" si="210"/>
        <v>21.37</v>
      </c>
      <c r="BE91" s="21">
        <f t="shared" si="211"/>
        <v>20.68</v>
      </c>
      <c r="BF91" s="21">
        <f t="shared" si="212"/>
        <v>21.37</v>
      </c>
      <c r="BG91" s="21">
        <f t="shared" si="213"/>
        <v>21.37</v>
      </c>
      <c r="BH91" s="21">
        <f t="shared" si="214"/>
        <v>20.68</v>
      </c>
      <c r="BI91" s="21">
        <f t="shared" si="215"/>
        <v>21.37</v>
      </c>
      <c r="BJ91" s="21">
        <f t="shared" si="216"/>
        <v>20.68</v>
      </c>
      <c r="BK91" s="21">
        <f t="shared" si="217"/>
        <v>21.37</v>
      </c>
      <c r="BL91" s="21">
        <f t="shared" si="218"/>
        <v>251.61000000000004</v>
      </c>
      <c r="BM91" s="21">
        <f t="shared" si="219"/>
        <v>315.72000000000003</v>
      </c>
      <c r="BN91" s="21">
        <f t="shared" si="220"/>
        <v>21.37</v>
      </c>
      <c r="BO91" s="21">
        <f t="shared" si="221"/>
        <v>19.3</v>
      </c>
      <c r="BP91" s="21">
        <f t="shared" si="222"/>
        <v>21.37</v>
      </c>
      <c r="BQ91" s="21">
        <f t="shared" si="223"/>
        <v>20.68</v>
      </c>
      <c r="BR91" s="21">
        <f t="shared" si="224"/>
        <v>21.37</v>
      </c>
      <c r="BS91" s="21">
        <f t="shared" si="225"/>
        <v>20.68</v>
      </c>
      <c r="BT91" s="21">
        <f t="shared" si="226"/>
        <v>21.37</v>
      </c>
      <c r="BU91" s="21">
        <f t="shared" si="227"/>
        <v>21.37</v>
      </c>
      <c r="BV91" s="21">
        <f t="shared" si="228"/>
        <v>20.68</v>
      </c>
      <c r="BW91" s="21">
        <f t="shared" si="229"/>
        <v>21.37</v>
      </c>
      <c r="BX91" s="21">
        <f t="shared" si="230"/>
        <v>20.68</v>
      </c>
      <c r="BY91" s="21">
        <f t="shared" si="231"/>
        <v>21.37</v>
      </c>
      <c r="BZ91" s="21">
        <f t="shared" si="232"/>
        <v>251.61000000000004</v>
      </c>
      <c r="CA91" s="21">
        <f t="shared" si="233"/>
        <v>567.33000000000004</v>
      </c>
      <c r="CB91" s="21">
        <f t="shared" si="234"/>
        <v>21.37</v>
      </c>
      <c r="CC91" s="21">
        <f t="shared" si="235"/>
        <v>19.989999999999998</v>
      </c>
      <c r="CD91" s="21">
        <f t="shared" si="236"/>
        <v>21.37</v>
      </c>
      <c r="CE91" s="21">
        <f t="shared" si="237"/>
        <v>20.68</v>
      </c>
      <c r="CF91" s="21">
        <f t="shared" si="238"/>
        <v>21.37</v>
      </c>
      <c r="CG91" s="21">
        <f t="shared" si="239"/>
        <v>20.68</v>
      </c>
      <c r="CH91" s="21">
        <f t="shared" si="240"/>
        <v>21.37</v>
      </c>
      <c r="CI91" s="21">
        <f t="shared" si="241"/>
        <v>21.37</v>
      </c>
      <c r="CJ91" s="21">
        <f t="shared" si="242"/>
        <v>20.68</v>
      </c>
      <c r="CK91" s="21">
        <f t="shared" si="243"/>
        <v>21.37</v>
      </c>
      <c r="CL91" s="21">
        <f t="shared" si="244"/>
        <v>20.68</v>
      </c>
      <c r="CM91" s="21">
        <f t="shared" si="245"/>
        <v>21.37</v>
      </c>
      <c r="CN91" s="21">
        <f t="shared" si="246"/>
        <v>252.30000000000004</v>
      </c>
      <c r="CO91" s="26">
        <f t="shared" si="247"/>
        <v>819.63</v>
      </c>
      <c r="CP91" s="21">
        <f t="shared" si="248"/>
        <v>21.37</v>
      </c>
      <c r="CQ91" s="21">
        <f t="shared" si="249"/>
        <v>19.3</v>
      </c>
      <c r="CR91" s="21">
        <f t="shared" si="250"/>
        <v>21.37</v>
      </c>
      <c r="CS91" s="21">
        <f t="shared" si="251"/>
        <v>20.68</v>
      </c>
      <c r="CT91" s="27">
        <f t="shared" si="252"/>
        <v>21.37</v>
      </c>
      <c r="CU91" s="21">
        <f t="shared" si="253"/>
        <v>20.68</v>
      </c>
      <c r="CV91" s="21">
        <f t="shared" si="254"/>
        <v>21.37</v>
      </c>
      <c r="CW91" s="21">
        <f t="shared" si="255"/>
        <v>21.37</v>
      </c>
      <c r="CX91" s="21">
        <f t="shared" si="256"/>
        <v>20.68</v>
      </c>
      <c r="CY91" s="21">
        <f t="shared" si="257"/>
        <v>21.37</v>
      </c>
      <c r="CZ91" s="21">
        <f t="shared" si="258"/>
        <v>20.68</v>
      </c>
      <c r="DA91" s="21">
        <f t="shared" si="259"/>
        <v>21.37</v>
      </c>
      <c r="DB91" s="26">
        <f t="shared" si="260"/>
        <v>251.61000000000004</v>
      </c>
      <c r="DC91" s="26">
        <f t="shared" si="261"/>
        <v>1071.24</v>
      </c>
      <c r="DD91" s="21">
        <f t="shared" si="262"/>
        <v>21.37</v>
      </c>
      <c r="DE91" s="21">
        <f t="shared" si="268"/>
        <v>19.3</v>
      </c>
      <c r="DF91" s="21">
        <f>ROUND((I91/5/365*31),2)</f>
        <v>21.37</v>
      </c>
      <c r="DG91" s="21">
        <f t="shared" si="270"/>
        <v>20.68</v>
      </c>
      <c r="DH91" s="21">
        <f t="shared" si="263"/>
        <v>21.37</v>
      </c>
      <c r="DI91" s="21">
        <f t="shared" si="264"/>
        <v>20.68</v>
      </c>
      <c r="DJ91" s="26"/>
      <c r="DK91" s="26"/>
      <c r="DL91" s="26"/>
      <c r="DM91" s="26"/>
      <c r="DN91" s="26"/>
      <c r="DO91" s="26"/>
      <c r="DP91" s="26">
        <f t="shared" si="265"/>
        <v>124.77000000000001</v>
      </c>
      <c r="DQ91" s="21">
        <f t="shared" si="266"/>
        <v>1196.01</v>
      </c>
      <c r="DR91" s="21">
        <f t="shared" si="267"/>
        <v>201.99</v>
      </c>
    </row>
    <row r="92" spans="2:129" ht="20.100000000000001" customHeight="1">
      <c r="B92" s="35">
        <v>41628</v>
      </c>
      <c r="C92" s="36" t="s">
        <v>254</v>
      </c>
      <c r="D92" s="47" t="s">
        <v>255</v>
      </c>
      <c r="E92" s="47" t="s">
        <v>121</v>
      </c>
      <c r="F92" s="36" t="s">
        <v>256</v>
      </c>
      <c r="G92" s="21">
        <v>37488</v>
      </c>
      <c r="H92" s="21">
        <f t="shared" si="198"/>
        <v>3748.8</v>
      </c>
      <c r="I92" s="21">
        <f t="shared" si="199"/>
        <v>33739.200000000004</v>
      </c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>
        <v>0</v>
      </c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>
        <v>0</v>
      </c>
      <c r="AW92" s="21">
        <f t="shared" ref="AW92:AW98" si="271">ROUND((I92/5/365*11),2)</f>
        <v>203.36</v>
      </c>
      <c r="AX92" s="21">
        <f t="shared" si="204"/>
        <v>203.36</v>
      </c>
      <c r="AY92" s="21">
        <f t="shared" si="205"/>
        <v>203.36</v>
      </c>
      <c r="AZ92" s="21">
        <f t="shared" si="206"/>
        <v>573.1</v>
      </c>
      <c r="BA92" s="21">
        <f t="shared" si="207"/>
        <v>517.64</v>
      </c>
      <c r="BB92" s="21">
        <f t="shared" si="208"/>
        <v>573.1</v>
      </c>
      <c r="BC92" s="21">
        <f t="shared" si="209"/>
        <v>554.62</v>
      </c>
      <c r="BD92" s="21">
        <f t="shared" si="210"/>
        <v>573.1</v>
      </c>
      <c r="BE92" s="21">
        <f t="shared" si="211"/>
        <v>554.62</v>
      </c>
      <c r="BF92" s="21">
        <f t="shared" si="212"/>
        <v>573.1</v>
      </c>
      <c r="BG92" s="21">
        <f t="shared" si="213"/>
        <v>573.1</v>
      </c>
      <c r="BH92" s="21">
        <f t="shared" si="214"/>
        <v>554.62</v>
      </c>
      <c r="BI92" s="21">
        <f t="shared" si="215"/>
        <v>573.1</v>
      </c>
      <c r="BJ92" s="21">
        <f t="shared" si="216"/>
        <v>554.62</v>
      </c>
      <c r="BK92" s="21">
        <f t="shared" si="217"/>
        <v>573.1</v>
      </c>
      <c r="BL92" s="21">
        <f t="shared" si="218"/>
        <v>6747.8200000000006</v>
      </c>
      <c r="BM92" s="21">
        <f t="shared" si="219"/>
        <v>6951.18</v>
      </c>
      <c r="BN92" s="21">
        <f t="shared" si="220"/>
        <v>573.1</v>
      </c>
      <c r="BO92" s="21">
        <f t="shared" si="221"/>
        <v>517.64</v>
      </c>
      <c r="BP92" s="21">
        <f t="shared" si="222"/>
        <v>573.1</v>
      </c>
      <c r="BQ92" s="21">
        <f t="shared" si="223"/>
        <v>554.62</v>
      </c>
      <c r="BR92" s="21">
        <f t="shared" si="224"/>
        <v>573.1</v>
      </c>
      <c r="BS92" s="21">
        <f t="shared" si="225"/>
        <v>554.62</v>
      </c>
      <c r="BT92" s="21">
        <f t="shared" si="226"/>
        <v>573.1</v>
      </c>
      <c r="BU92" s="21">
        <f t="shared" si="227"/>
        <v>573.1</v>
      </c>
      <c r="BV92" s="21">
        <f t="shared" si="228"/>
        <v>554.62</v>
      </c>
      <c r="BW92" s="21">
        <f t="shared" si="229"/>
        <v>573.1</v>
      </c>
      <c r="BX92" s="21">
        <f t="shared" si="230"/>
        <v>554.62</v>
      </c>
      <c r="BY92" s="21">
        <f t="shared" si="231"/>
        <v>573.1</v>
      </c>
      <c r="BZ92" s="21">
        <f t="shared" si="232"/>
        <v>6747.8200000000006</v>
      </c>
      <c r="CA92" s="21">
        <f t="shared" si="233"/>
        <v>13699</v>
      </c>
      <c r="CB92" s="21">
        <f t="shared" si="234"/>
        <v>573.1</v>
      </c>
      <c r="CC92" s="21">
        <f t="shared" si="235"/>
        <v>536.13</v>
      </c>
      <c r="CD92" s="21">
        <f t="shared" si="236"/>
        <v>573.1</v>
      </c>
      <c r="CE92" s="21">
        <f t="shared" si="237"/>
        <v>554.62</v>
      </c>
      <c r="CF92" s="21">
        <f t="shared" si="238"/>
        <v>573.1</v>
      </c>
      <c r="CG92" s="21">
        <f t="shared" si="239"/>
        <v>554.62</v>
      </c>
      <c r="CH92" s="21">
        <f t="shared" si="240"/>
        <v>573.1</v>
      </c>
      <c r="CI92" s="21">
        <f t="shared" si="241"/>
        <v>573.1</v>
      </c>
      <c r="CJ92" s="21">
        <f t="shared" si="242"/>
        <v>554.62</v>
      </c>
      <c r="CK92" s="21">
        <f t="shared" si="243"/>
        <v>573.1</v>
      </c>
      <c r="CL92" s="21">
        <f t="shared" si="244"/>
        <v>554.62</v>
      </c>
      <c r="CM92" s="21">
        <f t="shared" si="245"/>
        <v>573.1</v>
      </c>
      <c r="CN92" s="21">
        <f t="shared" si="246"/>
        <v>6766.31</v>
      </c>
      <c r="CO92" s="26">
        <f t="shared" si="247"/>
        <v>20465.310000000001</v>
      </c>
      <c r="CP92" s="21">
        <f t="shared" si="248"/>
        <v>573.1</v>
      </c>
      <c r="CQ92" s="21">
        <f t="shared" si="249"/>
        <v>517.64</v>
      </c>
      <c r="CR92" s="21">
        <f t="shared" si="250"/>
        <v>573.1</v>
      </c>
      <c r="CS92" s="21">
        <f t="shared" si="251"/>
        <v>554.62</v>
      </c>
      <c r="CT92" s="27">
        <f t="shared" si="252"/>
        <v>573.1</v>
      </c>
      <c r="CU92" s="21">
        <f t="shared" si="253"/>
        <v>554.62</v>
      </c>
      <c r="CV92" s="21">
        <f t="shared" si="254"/>
        <v>573.1</v>
      </c>
      <c r="CW92" s="21">
        <f t="shared" si="255"/>
        <v>573.1</v>
      </c>
      <c r="CX92" s="21">
        <f t="shared" si="256"/>
        <v>554.62</v>
      </c>
      <c r="CY92" s="21">
        <f t="shared" si="257"/>
        <v>573.1</v>
      </c>
      <c r="CZ92" s="21">
        <f t="shared" si="258"/>
        <v>554.62</v>
      </c>
      <c r="DA92" s="21">
        <f t="shared" si="259"/>
        <v>573.1</v>
      </c>
      <c r="DB92" s="26">
        <f t="shared" si="260"/>
        <v>6747.8200000000006</v>
      </c>
      <c r="DC92" s="26">
        <f t="shared" si="261"/>
        <v>27213.13</v>
      </c>
      <c r="DD92" s="21">
        <f t="shared" si="262"/>
        <v>573.1</v>
      </c>
      <c r="DE92" s="21">
        <f t="shared" si="268"/>
        <v>517.64</v>
      </c>
      <c r="DF92" s="21">
        <f t="shared" si="269"/>
        <v>573.1</v>
      </c>
      <c r="DG92" s="21">
        <f t="shared" si="270"/>
        <v>554.62</v>
      </c>
      <c r="DH92" s="21">
        <f t="shared" si="263"/>
        <v>573.1</v>
      </c>
      <c r="DI92" s="21">
        <f t="shared" si="264"/>
        <v>554.62</v>
      </c>
      <c r="DJ92" s="26"/>
      <c r="DK92" s="26"/>
      <c r="DL92" s="26"/>
      <c r="DM92" s="26"/>
      <c r="DN92" s="26"/>
      <c r="DO92" s="26"/>
      <c r="DP92" s="26">
        <f t="shared" si="265"/>
        <v>3346.18</v>
      </c>
      <c r="DQ92" s="21">
        <f t="shared" si="266"/>
        <v>30559.31</v>
      </c>
      <c r="DR92" s="21">
        <f>SUM(G92-DQ92)</f>
        <v>6928.6899999999987</v>
      </c>
    </row>
    <row r="93" spans="2:129" ht="20.100000000000001" customHeight="1">
      <c r="B93" s="35">
        <v>41628</v>
      </c>
      <c r="C93" s="36" t="s">
        <v>254</v>
      </c>
      <c r="D93" s="47" t="s">
        <v>257</v>
      </c>
      <c r="E93" s="47" t="s">
        <v>121</v>
      </c>
      <c r="F93" s="36" t="s">
        <v>258</v>
      </c>
      <c r="G93" s="21">
        <v>37488</v>
      </c>
      <c r="H93" s="21">
        <f t="shared" si="198"/>
        <v>3748.8</v>
      </c>
      <c r="I93" s="21">
        <f t="shared" si="199"/>
        <v>33739.200000000004</v>
      </c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>
        <v>0</v>
      </c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>
        <v>0</v>
      </c>
      <c r="AW93" s="21">
        <f t="shared" si="271"/>
        <v>203.36</v>
      </c>
      <c r="AX93" s="21">
        <f t="shared" si="204"/>
        <v>203.36</v>
      </c>
      <c r="AY93" s="21">
        <f t="shared" si="205"/>
        <v>203.36</v>
      </c>
      <c r="AZ93" s="21">
        <f t="shared" si="206"/>
        <v>573.1</v>
      </c>
      <c r="BA93" s="21">
        <f t="shared" si="207"/>
        <v>517.64</v>
      </c>
      <c r="BB93" s="21">
        <f t="shared" si="208"/>
        <v>573.1</v>
      </c>
      <c r="BC93" s="21">
        <f t="shared" si="209"/>
        <v>554.62</v>
      </c>
      <c r="BD93" s="21">
        <f t="shared" si="210"/>
        <v>573.1</v>
      </c>
      <c r="BE93" s="21">
        <f t="shared" si="211"/>
        <v>554.62</v>
      </c>
      <c r="BF93" s="21">
        <f t="shared" si="212"/>
        <v>573.1</v>
      </c>
      <c r="BG93" s="21">
        <f t="shared" si="213"/>
        <v>573.1</v>
      </c>
      <c r="BH93" s="21">
        <f t="shared" si="214"/>
        <v>554.62</v>
      </c>
      <c r="BI93" s="21">
        <f t="shared" si="215"/>
        <v>573.1</v>
      </c>
      <c r="BJ93" s="21">
        <f t="shared" si="216"/>
        <v>554.62</v>
      </c>
      <c r="BK93" s="21">
        <f t="shared" si="217"/>
        <v>573.1</v>
      </c>
      <c r="BL93" s="21">
        <f t="shared" si="218"/>
        <v>6747.8200000000006</v>
      </c>
      <c r="BM93" s="21">
        <f t="shared" si="219"/>
        <v>6951.18</v>
      </c>
      <c r="BN93" s="21">
        <f t="shared" si="220"/>
        <v>573.1</v>
      </c>
      <c r="BO93" s="21">
        <f t="shared" si="221"/>
        <v>517.64</v>
      </c>
      <c r="BP93" s="21">
        <f t="shared" si="222"/>
        <v>573.1</v>
      </c>
      <c r="BQ93" s="21">
        <f t="shared" si="223"/>
        <v>554.62</v>
      </c>
      <c r="BR93" s="21">
        <f t="shared" si="224"/>
        <v>573.1</v>
      </c>
      <c r="BS93" s="21">
        <f t="shared" si="225"/>
        <v>554.62</v>
      </c>
      <c r="BT93" s="21">
        <f t="shared" si="226"/>
        <v>573.1</v>
      </c>
      <c r="BU93" s="21">
        <f t="shared" si="227"/>
        <v>573.1</v>
      </c>
      <c r="BV93" s="21">
        <f t="shared" si="228"/>
        <v>554.62</v>
      </c>
      <c r="BW93" s="21">
        <f t="shared" si="229"/>
        <v>573.1</v>
      </c>
      <c r="BX93" s="21">
        <f t="shared" si="230"/>
        <v>554.62</v>
      </c>
      <c r="BY93" s="21">
        <f t="shared" si="231"/>
        <v>573.1</v>
      </c>
      <c r="BZ93" s="21">
        <f t="shared" si="232"/>
        <v>6747.8200000000006</v>
      </c>
      <c r="CA93" s="21">
        <f t="shared" si="233"/>
        <v>13699</v>
      </c>
      <c r="CB93" s="21">
        <f t="shared" si="234"/>
        <v>573.1</v>
      </c>
      <c r="CC93" s="21">
        <f t="shared" si="235"/>
        <v>536.13</v>
      </c>
      <c r="CD93" s="21">
        <f t="shared" si="236"/>
        <v>573.1</v>
      </c>
      <c r="CE93" s="21">
        <f t="shared" si="237"/>
        <v>554.62</v>
      </c>
      <c r="CF93" s="21">
        <f t="shared" si="238"/>
        <v>573.1</v>
      </c>
      <c r="CG93" s="21">
        <f t="shared" si="239"/>
        <v>554.62</v>
      </c>
      <c r="CH93" s="21">
        <f t="shared" si="240"/>
        <v>573.1</v>
      </c>
      <c r="CI93" s="21">
        <f t="shared" si="241"/>
        <v>573.1</v>
      </c>
      <c r="CJ93" s="21">
        <f t="shared" si="242"/>
        <v>554.62</v>
      </c>
      <c r="CK93" s="21">
        <f t="shared" si="243"/>
        <v>573.1</v>
      </c>
      <c r="CL93" s="21">
        <f t="shared" si="244"/>
        <v>554.62</v>
      </c>
      <c r="CM93" s="21">
        <f t="shared" si="245"/>
        <v>573.1</v>
      </c>
      <c r="CN93" s="21">
        <f t="shared" si="246"/>
        <v>6766.31</v>
      </c>
      <c r="CO93" s="26">
        <f t="shared" si="247"/>
        <v>20465.310000000001</v>
      </c>
      <c r="CP93" s="21">
        <f t="shared" si="248"/>
        <v>573.1</v>
      </c>
      <c r="CQ93" s="21">
        <f t="shared" si="249"/>
        <v>517.64</v>
      </c>
      <c r="CR93" s="21">
        <f t="shared" si="250"/>
        <v>573.1</v>
      </c>
      <c r="CS93" s="21">
        <f t="shared" si="251"/>
        <v>554.62</v>
      </c>
      <c r="CT93" s="27">
        <f t="shared" si="252"/>
        <v>573.1</v>
      </c>
      <c r="CU93" s="21">
        <f t="shared" si="253"/>
        <v>554.62</v>
      </c>
      <c r="CV93" s="21">
        <f t="shared" si="254"/>
        <v>573.1</v>
      </c>
      <c r="CW93" s="21">
        <f t="shared" si="255"/>
        <v>573.1</v>
      </c>
      <c r="CX93" s="21">
        <f t="shared" si="256"/>
        <v>554.62</v>
      </c>
      <c r="CY93" s="21">
        <f t="shared" si="257"/>
        <v>573.1</v>
      </c>
      <c r="CZ93" s="21">
        <f t="shared" si="258"/>
        <v>554.62</v>
      </c>
      <c r="DA93" s="21">
        <f t="shared" si="259"/>
        <v>573.1</v>
      </c>
      <c r="DB93" s="26">
        <f t="shared" si="260"/>
        <v>6747.8200000000006</v>
      </c>
      <c r="DC93" s="26">
        <f t="shared" si="261"/>
        <v>27213.13</v>
      </c>
      <c r="DD93" s="21">
        <f t="shared" si="262"/>
        <v>573.1</v>
      </c>
      <c r="DE93" s="21">
        <f t="shared" si="268"/>
        <v>517.64</v>
      </c>
      <c r="DF93" s="21">
        <f t="shared" si="269"/>
        <v>573.1</v>
      </c>
      <c r="DG93" s="21">
        <f t="shared" si="270"/>
        <v>554.62</v>
      </c>
      <c r="DH93" s="21">
        <f t="shared" si="263"/>
        <v>573.1</v>
      </c>
      <c r="DI93" s="21">
        <f t="shared" si="264"/>
        <v>554.62</v>
      </c>
      <c r="DJ93" s="26"/>
      <c r="DK93" s="26"/>
      <c r="DL93" s="26"/>
      <c r="DM93" s="26"/>
      <c r="DN93" s="26"/>
      <c r="DO93" s="26"/>
      <c r="DP93" s="26">
        <f t="shared" si="265"/>
        <v>3346.18</v>
      </c>
      <c r="DQ93" s="21">
        <f t="shared" si="266"/>
        <v>30559.31</v>
      </c>
      <c r="DR93" s="21">
        <f t="shared" si="267"/>
        <v>6928.6899999999987</v>
      </c>
    </row>
    <row r="94" spans="2:129" ht="20.100000000000001" customHeight="1">
      <c r="B94" s="35">
        <v>41628</v>
      </c>
      <c r="C94" s="36" t="s">
        <v>259</v>
      </c>
      <c r="D94" s="47" t="s">
        <v>260</v>
      </c>
      <c r="E94" s="47" t="s">
        <v>121</v>
      </c>
      <c r="F94" s="36" t="s">
        <v>261</v>
      </c>
      <c r="G94" s="21">
        <v>21715</v>
      </c>
      <c r="H94" s="21">
        <f t="shared" si="198"/>
        <v>2171.5</v>
      </c>
      <c r="I94" s="21">
        <f t="shared" si="199"/>
        <v>19543.5</v>
      </c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>
        <v>0</v>
      </c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>
        <v>0</v>
      </c>
      <c r="AW94" s="21">
        <f t="shared" si="271"/>
        <v>117.8</v>
      </c>
      <c r="AX94" s="21">
        <f t="shared" si="204"/>
        <v>117.8</v>
      </c>
      <c r="AY94" s="21">
        <f t="shared" si="205"/>
        <v>117.8</v>
      </c>
      <c r="AZ94" s="21">
        <f t="shared" si="206"/>
        <v>331.97</v>
      </c>
      <c r="BA94" s="21">
        <f t="shared" si="207"/>
        <v>299.85000000000002</v>
      </c>
      <c r="BB94" s="21">
        <f t="shared" si="208"/>
        <v>331.97</v>
      </c>
      <c r="BC94" s="21">
        <f t="shared" si="209"/>
        <v>321.26</v>
      </c>
      <c r="BD94" s="21">
        <f t="shared" si="210"/>
        <v>331.97</v>
      </c>
      <c r="BE94" s="21">
        <f t="shared" si="211"/>
        <v>321.26</v>
      </c>
      <c r="BF94" s="21">
        <f t="shared" si="212"/>
        <v>331.97</v>
      </c>
      <c r="BG94" s="21">
        <f t="shared" si="213"/>
        <v>331.97</v>
      </c>
      <c r="BH94" s="21">
        <f t="shared" si="214"/>
        <v>321.26</v>
      </c>
      <c r="BI94" s="21">
        <f t="shared" si="215"/>
        <v>331.97</v>
      </c>
      <c r="BJ94" s="21">
        <f t="shared" si="216"/>
        <v>321.26</v>
      </c>
      <c r="BK94" s="21">
        <f t="shared" si="217"/>
        <v>331.97</v>
      </c>
      <c r="BL94" s="21">
        <f t="shared" si="218"/>
        <v>3908.6800000000012</v>
      </c>
      <c r="BM94" s="21">
        <f t="shared" si="219"/>
        <v>4026.48</v>
      </c>
      <c r="BN94" s="21">
        <f t="shared" si="220"/>
        <v>331.97</v>
      </c>
      <c r="BO94" s="21">
        <f t="shared" si="221"/>
        <v>299.85000000000002</v>
      </c>
      <c r="BP94" s="21">
        <f t="shared" si="222"/>
        <v>331.97</v>
      </c>
      <c r="BQ94" s="21">
        <f t="shared" si="223"/>
        <v>321.26</v>
      </c>
      <c r="BR94" s="21">
        <f t="shared" si="224"/>
        <v>331.97</v>
      </c>
      <c r="BS94" s="21">
        <f t="shared" si="225"/>
        <v>321.26</v>
      </c>
      <c r="BT94" s="21">
        <f t="shared" si="226"/>
        <v>331.97</v>
      </c>
      <c r="BU94" s="21">
        <f t="shared" si="227"/>
        <v>331.97</v>
      </c>
      <c r="BV94" s="21">
        <f t="shared" si="228"/>
        <v>321.26</v>
      </c>
      <c r="BW94" s="21">
        <f t="shared" si="229"/>
        <v>331.97</v>
      </c>
      <c r="BX94" s="21">
        <f t="shared" si="230"/>
        <v>321.26</v>
      </c>
      <c r="BY94" s="21">
        <f t="shared" si="231"/>
        <v>331.97</v>
      </c>
      <c r="BZ94" s="21">
        <f t="shared" si="232"/>
        <v>3908.6800000000012</v>
      </c>
      <c r="CA94" s="21">
        <f t="shared" si="233"/>
        <v>7935.16</v>
      </c>
      <c r="CB94" s="21">
        <f t="shared" si="234"/>
        <v>331.97</v>
      </c>
      <c r="CC94" s="21">
        <f t="shared" si="235"/>
        <v>310.55</v>
      </c>
      <c r="CD94" s="21">
        <f t="shared" si="236"/>
        <v>331.97</v>
      </c>
      <c r="CE94" s="21">
        <f t="shared" si="237"/>
        <v>321.26</v>
      </c>
      <c r="CF94" s="21">
        <f t="shared" si="238"/>
        <v>331.97</v>
      </c>
      <c r="CG94" s="21">
        <f t="shared" si="239"/>
        <v>321.26</v>
      </c>
      <c r="CH94" s="21">
        <f t="shared" si="240"/>
        <v>331.97</v>
      </c>
      <c r="CI94" s="21">
        <f t="shared" si="241"/>
        <v>331.97</v>
      </c>
      <c r="CJ94" s="21">
        <f t="shared" si="242"/>
        <v>321.26</v>
      </c>
      <c r="CK94" s="21">
        <f t="shared" si="243"/>
        <v>331.97</v>
      </c>
      <c r="CL94" s="21">
        <f t="shared" si="244"/>
        <v>321.26</v>
      </c>
      <c r="CM94" s="21">
        <f t="shared" si="245"/>
        <v>331.97</v>
      </c>
      <c r="CN94" s="21">
        <f t="shared" si="246"/>
        <v>3919.380000000001</v>
      </c>
      <c r="CO94" s="26">
        <f t="shared" si="247"/>
        <v>11854.54</v>
      </c>
      <c r="CP94" s="21">
        <f t="shared" si="248"/>
        <v>331.97</v>
      </c>
      <c r="CQ94" s="21">
        <f t="shared" si="249"/>
        <v>299.85000000000002</v>
      </c>
      <c r="CR94" s="21">
        <f t="shared" si="250"/>
        <v>331.97</v>
      </c>
      <c r="CS94" s="21">
        <f t="shared" si="251"/>
        <v>321.26</v>
      </c>
      <c r="CT94" s="27">
        <f t="shared" si="252"/>
        <v>331.97</v>
      </c>
      <c r="CU94" s="21">
        <f t="shared" si="253"/>
        <v>321.26</v>
      </c>
      <c r="CV94" s="21">
        <f t="shared" si="254"/>
        <v>331.97</v>
      </c>
      <c r="CW94" s="21">
        <f t="shared" si="255"/>
        <v>331.97</v>
      </c>
      <c r="CX94" s="21">
        <f t="shared" si="256"/>
        <v>321.26</v>
      </c>
      <c r="CY94" s="21">
        <f t="shared" si="257"/>
        <v>331.97</v>
      </c>
      <c r="CZ94" s="21">
        <f t="shared" si="258"/>
        <v>321.26</v>
      </c>
      <c r="DA94" s="21">
        <f t="shared" si="259"/>
        <v>331.97</v>
      </c>
      <c r="DB94" s="26">
        <f t="shared" si="260"/>
        <v>3908.6800000000012</v>
      </c>
      <c r="DC94" s="26">
        <f t="shared" si="261"/>
        <v>15763.22</v>
      </c>
      <c r="DD94" s="21">
        <f t="shared" si="262"/>
        <v>331.97</v>
      </c>
      <c r="DE94" s="21">
        <f t="shared" si="268"/>
        <v>299.85000000000002</v>
      </c>
      <c r="DF94" s="21">
        <f t="shared" si="269"/>
        <v>331.97</v>
      </c>
      <c r="DG94" s="21">
        <f t="shared" si="270"/>
        <v>321.26</v>
      </c>
      <c r="DH94" s="21">
        <f t="shared" si="263"/>
        <v>331.97</v>
      </c>
      <c r="DI94" s="21">
        <f t="shared" si="264"/>
        <v>321.26</v>
      </c>
      <c r="DJ94" s="26"/>
      <c r="DK94" s="26"/>
      <c r="DL94" s="26"/>
      <c r="DM94" s="26"/>
      <c r="DN94" s="26"/>
      <c r="DO94" s="26"/>
      <c r="DP94" s="26">
        <f t="shared" si="265"/>
        <v>1938.2800000000002</v>
      </c>
      <c r="DQ94" s="21">
        <f t="shared" si="266"/>
        <v>17701.5</v>
      </c>
      <c r="DR94" s="21">
        <f t="shared" si="267"/>
        <v>4013.5</v>
      </c>
    </row>
    <row r="95" spans="2:129" ht="20.100000000000001" customHeight="1">
      <c r="B95" s="35">
        <v>41628</v>
      </c>
      <c r="C95" s="36" t="s">
        <v>262</v>
      </c>
      <c r="D95" s="47" t="s">
        <v>262</v>
      </c>
      <c r="E95" s="47" t="s">
        <v>121</v>
      </c>
      <c r="F95" s="36" t="s">
        <v>263</v>
      </c>
      <c r="G95" s="21">
        <v>15354</v>
      </c>
      <c r="H95" s="21">
        <f t="shared" si="198"/>
        <v>1535.4</v>
      </c>
      <c r="I95" s="21">
        <f t="shared" si="199"/>
        <v>13818.6</v>
      </c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>
        <v>0</v>
      </c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>
        <v>0</v>
      </c>
      <c r="AW95" s="21">
        <f t="shared" si="271"/>
        <v>83.29</v>
      </c>
      <c r="AX95" s="21">
        <f t="shared" si="204"/>
        <v>83.29</v>
      </c>
      <c r="AY95" s="21">
        <f t="shared" si="205"/>
        <v>83.29</v>
      </c>
      <c r="AZ95" s="21">
        <f t="shared" si="206"/>
        <v>234.73</v>
      </c>
      <c r="BA95" s="21">
        <f t="shared" si="207"/>
        <v>212.01</v>
      </c>
      <c r="BB95" s="21">
        <f t="shared" si="208"/>
        <v>234.73</v>
      </c>
      <c r="BC95" s="21">
        <f t="shared" si="209"/>
        <v>227.16</v>
      </c>
      <c r="BD95" s="21">
        <f t="shared" si="210"/>
        <v>234.73</v>
      </c>
      <c r="BE95" s="21">
        <f t="shared" si="211"/>
        <v>227.16</v>
      </c>
      <c r="BF95" s="21">
        <f t="shared" si="212"/>
        <v>234.73</v>
      </c>
      <c r="BG95" s="21">
        <f t="shared" si="213"/>
        <v>234.73</v>
      </c>
      <c r="BH95" s="21">
        <f t="shared" si="214"/>
        <v>227.16</v>
      </c>
      <c r="BI95" s="21">
        <f t="shared" si="215"/>
        <v>234.73</v>
      </c>
      <c r="BJ95" s="21">
        <f t="shared" si="216"/>
        <v>227.16</v>
      </c>
      <c r="BK95" s="21">
        <f t="shared" si="217"/>
        <v>234.73</v>
      </c>
      <c r="BL95" s="21">
        <f t="shared" si="218"/>
        <v>2763.7599999999998</v>
      </c>
      <c r="BM95" s="21">
        <f t="shared" si="219"/>
        <v>2847.05</v>
      </c>
      <c r="BN95" s="21">
        <f t="shared" si="220"/>
        <v>234.73</v>
      </c>
      <c r="BO95" s="21">
        <f t="shared" si="221"/>
        <v>212.01</v>
      </c>
      <c r="BP95" s="21">
        <f t="shared" si="222"/>
        <v>234.73</v>
      </c>
      <c r="BQ95" s="21">
        <f t="shared" si="223"/>
        <v>227.16</v>
      </c>
      <c r="BR95" s="21">
        <f t="shared" si="224"/>
        <v>234.73</v>
      </c>
      <c r="BS95" s="21">
        <f t="shared" si="225"/>
        <v>227.16</v>
      </c>
      <c r="BT95" s="21">
        <f t="shared" si="226"/>
        <v>234.73</v>
      </c>
      <c r="BU95" s="21">
        <f t="shared" si="227"/>
        <v>234.73</v>
      </c>
      <c r="BV95" s="21">
        <f t="shared" si="228"/>
        <v>227.16</v>
      </c>
      <c r="BW95" s="21">
        <f t="shared" si="229"/>
        <v>234.73</v>
      </c>
      <c r="BX95" s="21">
        <f t="shared" si="230"/>
        <v>227.16</v>
      </c>
      <c r="BY95" s="21">
        <f t="shared" si="231"/>
        <v>234.73</v>
      </c>
      <c r="BZ95" s="21">
        <f t="shared" si="232"/>
        <v>2763.7599999999998</v>
      </c>
      <c r="CA95" s="21">
        <f t="shared" si="233"/>
        <v>5610.81</v>
      </c>
      <c r="CB95" s="21">
        <f t="shared" si="234"/>
        <v>234.73</v>
      </c>
      <c r="CC95" s="21">
        <f t="shared" si="235"/>
        <v>219.58</v>
      </c>
      <c r="CD95" s="21">
        <f t="shared" si="236"/>
        <v>234.73</v>
      </c>
      <c r="CE95" s="21">
        <f t="shared" si="237"/>
        <v>227.16</v>
      </c>
      <c r="CF95" s="21">
        <f t="shared" si="238"/>
        <v>234.73</v>
      </c>
      <c r="CG95" s="21">
        <f t="shared" si="239"/>
        <v>227.16</v>
      </c>
      <c r="CH95" s="21">
        <f t="shared" si="240"/>
        <v>234.73</v>
      </c>
      <c r="CI95" s="21">
        <f t="shared" si="241"/>
        <v>234.73</v>
      </c>
      <c r="CJ95" s="21">
        <f t="shared" si="242"/>
        <v>227.16</v>
      </c>
      <c r="CK95" s="21">
        <f t="shared" si="243"/>
        <v>234.73</v>
      </c>
      <c r="CL95" s="21">
        <f t="shared" si="244"/>
        <v>227.16</v>
      </c>
      <c r="CM95" s="21">
        <f t="shared" si="245"/>
        <v>234.73</v>
      </c>
      <c r="CN95" s="21">
        <f t="shared" si="246"/>
        <v>2771.33</v>
      </c>
      <c r="CO95" s="26">
        <f t="shared" si="247"/>
        <v>8382.14</v>
      </c>
      <c r="CP95" s="21">
        <f t="shared" si="248"/>
        <v>234.73</v>
      </c>
      <c r="CQ95" s="21">
        <f t="shared" si="249"/>
        <v>212.01</v>
      </c>
      <c r="CR95" s="21">
        <f t="shared" si="250"/>
        <v>234.73</v>
      </c>
      <c r="CS95" s="21">
        <f t="shared" si="251"/>
        <v>227.16</v>
      </c>
      <c r="CT95" s="27">
        <f t="shared" si="252"/>
        <v>234.73</v>
      </c>
      <c r="CU95" s="21">
        <f t="shared" si="253"/>
        <v>227.16</v>
      </c>
      <c r="CV95" s="21">
        <f t="shared" si="254"/>
        <v>234.73</v>
      </c>
      <c r="CW95" s="21">
        <f t="shared" si="255"/>
        <v>234.73</v>
      </c>
      <c r="CX95" s="21">
        <f t="shared" si="256"/>
        <v>227.16</v>
      </c>
      <c r="CY95" s="21">
        <f t="shared" si="257"/>
        <v>234.73</v>
      </c>
      <c r="CZ95" s="21">
        <f t="shared" si="258"/>
        <v>227.16</v>
      </c>
      <c r="DA95" s="21">
        <f t="shared" si="259"/>
        <v>234.73</v>
      </c>
      <c r="DB95" s="26">
        <f t="shared" si="260"/>
        <v>2763.7599999999998</v>
      </c>
      <c r="DC95" s="26">
        <f t="shared" si="261"/>
        <v>11145.9</v>
      </c>
      <c r="DD95" s="21">
        <f t="shared" si="262"/>
        <v>234.73</v>
      </c>
      <c r="DE95" s="21">
        <f t="shared" si="268"/>
        <v>212.01</v>
      </c>
      <c r="DF95" s="21">
        <f t="shared" si="269"/>
        <v>234.73</v>
      </c>
      <c r="DG95" s="21">
        <f t="shared" si="270"/>
        <v>227.16</v>
      </c>
      <c r="DH95" s="21">
        <f t="shared" si="263"/>
        <v>234.73</v>
      </c>
      <c r="DI95" s="21">
        <f t="shared" si="264"/>
        <v>227.16</v>
      </c>
      <c r="DJ95" s="26"/>
      <c r="DK95" s="26"/>
      <c r="DL95" s="26"/>
      <c r="DM95" s="26"/>
      <c r="DN95" s="26"/>
      <c r="DO95" s="26"/>
      <c r="DP95" s="26">
        <f t="shared" si="265"/>
        <v>1370.52</v>
      </c>
      <c r="DQ95" s="21">
        <f t="shared" si="266"/>
        <v>12516.42</v>
      </c>
      <c r="DR95" s="21">
        <f t="shared" si="267"/>
        <v>2837.58</v>
      </c>
    </row>
    <row r="96" spans="2:129" ht="20.100000000000001" customHeight="1">
      <c r="B96" s="35">
        <v>41628</v>
      </c>
      <c r="C96" s="47" t="s">
        <v>264</v>
      </c>
      <c r="D96" s="47" t="s">
        <v>264</v>
      </c>
      <c r="E96" s="47" t="s">
        <v>121</v>
      </c>
      <c r="F96" s="36" t="s">
        <v>265</v>
      </c>
      <c r="G96" s="21">
        <v>1702</v>
      </c>
      <c r="H96" s="21">
        <f t="shared" si="198"/>
        <v>170.20000000000002</v>
      </c>
      <c r="I96" s="21">
        <f t="shared" si="199"/>
        <v>1531.8</v>
      </c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>
        <v>0</v>
      </c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>
        <v>0</v>
      </c>
      <c r="AW96" s="21">
        <f t="shared" si="271"/>
        <v>9.23</v>
      </c>
      <c r="AX96" s="21">
        <f t="shared" si="204"/>
        <v>9.23</v>
      </c>
      <c r="AY96" s="21">
        <f t="shared" si="205"/>
        <v>9.23</v>
      </c>
      <c r="AZ96" s="21">
        <f t="shared" si="206"/>
        <v>26.02</v>
      </c>
      <c r="BA96" s="21">
        <f t="shared" si="207"/>
        <v>23.5</v>
      </c>
      <c r="BB96" s="21">
        <f t="shared" si="208"/>
        <v>26.02</v>
      </c>
      <c r="BC96" s="21">
        <f t="shared" si="209"/>
        <v>25.18</v>
      </c>
      <c r="BD96" s="21">
        <f t="shared" si="210"/>
        <v>26.02</v>
      </c>
      <c r="BE96" s="21">
        <f t="shared" si="211"/>
        <v>25.18</v>
      </c>
      <c r="BF96" s="21">
        <f t="shared" si="212"/>
        <v>26.02</v>
      </c>
      <c r="BG96" s="21">
        <f t="shared" si="213"/>
        <v>26.02</v>
      </c>
      <c r="BH96" s="21">
        <f t="shared" si="214"/>
        <v>25.18</v>
      </c>
      <c r="BI96" s="21">
        <f t="shared" si="215"/>
        <v>26.02</v>
      </c>
      <c r="BJ96" s="21">
        <f t="shared" si="216"/>
        <v>25.18</v>
      </c>
      <c r="BK96" s="21">
        <f t="shared" si="217"/>
        <v>26.02</v>
      </c>
      <c r="BL96" s="21">
        <f t="shared" si="218"/>
        <v>306.36</v>
      </c>
      <c r="BM96" s="21">
        <f t="shared" si="219"/>
        <v>315.58999999999997</v>
      </c>
      <c r="BN96" s="21">
        <f t="shared" si="220"/>
        <v>26.02</v>
      </c>
      <c r="BO96" s="21">
        <f t="shared" si="221"/>
        <v>23.5</v>
      </c>
      <c r="BP96" s="21">
        <f t="shared" si="222"/>
        <v>26.02</v>
      </c>
      <c r="BQ96" s="21">
        <f t="shared" si="223"/>
        <v>25.18</v>
      </c>
      <c r="BR96" s="21">
        <f t="shared" si="224"/>
        <v>26.02</v>
      </c>
      <c r="BS96" s="21">
        <f t="shared" si="225"/>
        <v>25.18</v>
      </c>
      <c r="BT96" s="21">
        <f t="shared" si="226"/>
        <v>26.02</v>
      </c>
      <c r="BU96" s="21">
        <f t="shared" si="227"/>
        <v>26.02</v>
      </c>
      <c r="BV96" s="21">
        <f t="shared" si="228"/>
        <v>25.18</v>
      </c>
      <c r="BW96" s="21">
        <f t="shared" si="229"/>
        <v>26.02</v>
      </c>
      <c r="BX96" s="21">
        <f t="shared" si="230"/>
        <v>25.18</v>
      </c>
      <c r="BY96" s="21">
        <f t="shared" si="231"/>
        <v>26.02</v>
      </c>
      <c r="BZ96" s="21">
        <f t="shared" si="232"/>
        <v>306.36</v>
      </c>
      <c r="CA96" s="21">
        <f t="shared" si="233"/>
        <v>621.95000000000005</v>
      </c>
      <c r="CB96" s="21">
        <f t="shared" si="234"/>
        <v>26.02</v>
      </c>
      <c r="CC96" s="21">
        <f t="shared" si="235"/>
        <v>24.34</v>
      </c>
      <c r="CD96" s="21">
        <f t="shared" si="236"/>
        <v>26.02</v>
      </c>
      <c r="CE96" s="21">
        <f t="shared" si="237"/>
        <v>25.18</v>
      </c>
      <c r="CF96" s="21">
        <f t="shared" si="238"/>
        <v>26.02</v>
      </c>
      <c r="CG96" s="21">
        <f t="shared" si="239"/>
        <v>25.18</v>
      </c>
      <c r="CH96" s="21">
        <f t="shared" si="240"/>
        <v>26.02</v>
      </c>
      <c r="CI96" s="21">
        <f t="shared" si="241"/>
        <v>26.02</v>
      </c>
      <c r="CJ96" s="21">
        <f t="shared" si="242"/>
        <v>25.18</v>
      </c>
      <c r="CK96" s="21">
        <f t="shared" si="243"/>
        <v>26.02</v>
      </c>
      <c r="CL96" s="21">
        <f t="shared" si="244"/>
        <v>25.18</v>
      </c>
      <c r="CM96" s="21">
        <f t="shared" si="245"/>
        <v>26.02</v>
      </c>
      <c r="CN96" s="21">
        <f t="shared" si="246"/>
        <v>307.2</v>
      </c>
      <c r="CO96" s="26">
        <f t="shared" si="247"/>
        <v>929.15</v>
      </c>
      <c r="CP96" s="21">
        <f t="shared" si="248"/>
        <v>26.02</v>
      </c>
      <c r="CQ96" s="21">
        <f t="shared" si="249"/>
        <v>23.5</v>
      </c>
      <c r="CR96" s="21">
        <f t="shared" si="250"/>
        <v>26.02</v>
      </c>
      <c r="CS96" s="21">
        <f t="shared" si="251"/>
        <v>25.18</v>
      </c>
      <c r="CT96" s="27">
        <f t="shared" si="252"/>
        <v>26.02</v>
      </c>
      <c r="CU96" s="21">
        <f t="shared" si="253"/>
        <v>25.18</v>
      </c>
      <c r="CV96" s="21">
        <f t="shared" si="254"/>
        <v>26.02</v>
      </c>
      <c r="CW96" s="21">
        <f t="shared" si="255"/>
        <v>26.02</v>
      </c>
      <c r="CX96" s="21">
        <f t="shared" si="256"/>
        <v>25.18</v>
      </c>
      <c r="CY96" s="21">
        <f t="shared" si="257"/>
        <v>26.02</v>
      </c>
      <c r="CZ96" s="21">
        <f t="shared" si="258"/>
        <v>25.18</v>
      </c>
      <c r="DA96" s="21">
        <f t="shared" si="259"/>
        <v>26.02</v>
      </c>
      <c r="DB96" s="26">
        <f t="shared" si="260"/>
        <v>306.36</v>
      </c>
      <c r="DC96" s="26">
        <f t="shared" si="261"/>
        <v>1235.51</v>
      </c>
      <c r="DD96" s="21">
        <f t="shared" si="262"/>
        <v>26.02</v>
      </c>
      <c r="DE96" s="21">
        <f t="shared" si="268"/>
        <v>23.5</v>
      </c>
      <c r="DF96" s="21">
        <f t="shared" si="269"/>
        <v>26.02</v>
      </c>
      <c r="DG96" s="21">
        <f t="shared" si="270"/>
        <v>25.18</v>
      </c>
      <c r="DH96" s="21">
        <f t="shared" si="263"/>
        <v>26.02</v>
      </c>
      <c r="DI96" s="21">
        <f t="shared" si="264"/>
        <v>25.18</v>
      </c>
      <c r="DJ96" s="26"/>
      <c r="DK96" s="26"/>
      <c r="DL96" s="26"/>
      <c r="DM96" s="26"/>
      <c r="DN96" s="26"/>
      <c r="DO96" s="26"/>
      <c r="DP96" s="26">
        <f t="shared" si="265"/>
        <v>151.91999999999999</v>
      </c>
      <c r="DQ96" s="21">
        <f t="shared" si="266"/>
        <v>1387.43</v>
      </c>
      <c r="DR96" s="21">
        <f t="shared" si="267"/>
        <v>314.56999999999994</v>
      </c>
    </row>
    <row r="97" spans="2:122" ht="24.75">
      <c r="B97" s="35">
        <v>41628</v>
      </c>
      <c r="C97" s="47" t="s">
        <v>266</v>
      </c>
      <c r="D97" s="47" t="s">
        <v>267</v>
      </c>
      <c r="E97" s="47" t="s">
        <v>216</v>
      </c>
      <c r="F97" s="36" t="s">
        <v>268</v>
      </c>
      <c r="G97" s="21">
        <v>6479.75</v>
      </c>
      <c r="H97" s="21">
        <f t="shared" si="198"/>
        <v>647.97500000000002</v>
      </c>
      <c r="I97" s="21">
        <f t="shared" si="199"/>
        <v>5831.7750000000005</v>
      </c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>
        <v>0</v>
      </c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>
        <v>0</v>
      </c>
      <c r="AW97" s="21">
        <f t="shared" si="271"/>
        <v>35.15</v>
      </c>
      <c r="AX97" s="21">
        <f t="shared" si="204"/>
        <v>35.15</v>
      </c>
      <c r="AY97" s="21">
        <f t="shared" si="205"/>
        <v>35.15</v>
      </c>
      <c r="AZ97" s="21">
        <f t="shared" si="206"/>
        <v>99.06</v>
      </c>
      <c r="BA97" s="21">
        <f t="shared" si="207"/>
        <v>89.47</v>
      </c>
      <c r="BB97" s="21">
        <f t="shared" si="208"/>
        <v>99.06</v>
      </c>
      <c r="BC97" s="21">
        <f t="shared" si="209"/>
        <v>95.86</v>
      </c>
      <c r="BD97" s="21">
        <f t="shared" si="210"/>
        <v>99.06</v>
      </c>
      <c r="BE97" s="21">
        <f t="shared" si="211"/>
        <v>95.86</v>
      </c>
      <c r="BF97" s="21">
        <f t="shared" si="212"/>
        <v>99.06</v>
      </c>
      <c r="BG97" s="21">
        <f t="shared" si="213"/>
        <v>99.06</v>
      </c>
      <c r="BH97" s="21">
        <f t="shared" si="214"/>
        <v>95.86</v>
      </c>
      <c r="BI97" s="21">
        <f t="shared" si="215"/>
        <v>99.06</v>
      </c>
      <c r="BJ97" s="21">
        <f t="shared" si="216"/>
        <v>95.86</v>
      </c>
      <c r="BK97" s="21">
        <f t="shared" si="217"/>
        <v>99.06</v>
      </c>
      <c r="BL97" s="21">
        <f t="shared" si="218"/>
        <v>1166.33</v>
      </c>
      <c r="BM97" s="21">
        <f t="shared" si="219"/>
        <v>1201.48</v>
      </c>
      <c r="BN97" s="21">
        <f t="shared" si="220"/>
        <v>99.06</v>
      </c>
      <c r="BO97" s="21">
        <f t="shared" si="221"/>
        <v>89.47</v>
      </c>
      <c r="BP97" s="21">
        <f t="shared" si="222"/>
        <v>99.06</v>
      </c>
      <c r="BQ97" s="21">
        <f t="shared" si="223"/>
        <v>95.86</v>
      </c>
      <c r="BR97" s="21">
        <f t="shared" si="224"/>
        <v>99.06</v>
      </c>
      <c r="BS97" s="21">
        <f t="shared" si="225"/>
        <v>95.86</v>
      </c>
      <c r="BT97" s="21">
        <f t="shared" si="226"/>
        <v>99.06</v>
      </c>
      <c r="BU97" s="21">
        <f t="shared" si="227"/>
        <v>99.06</v>
      </c>
      <c r="BV97" s="21">
        <f t="shared" si="228"/>
        <v>95.86</v>
      </c>
      <c r="BW97" s="21">
        <f t="shared" si="229"/>
        <v>99.06</v>
      </c>
      <c r="BX97" s="21">
        <f t="shared" si="230"/>
        <v>95.86</v>
      </c>
      <c r="BY97" s="21">
        <f t="shared" si="231"/>
        <v>99.06</v>
      </c>
      <c r="BZ97" s="21">
        <f t="shared" si="232"/>
        <v>1166.33</v>
      </c>
      <c r="CA97" s="21">
        <f t="shared" si="233"/>
        <v>2367.81</v>
      </c>
      <c r="CB97" s="21">
        <f t="shared" si="234"/>
        <v>99.06</v>
      </c>
      <c r="CC97" s="21">
        <f t="shared" si="235"/>
        <v>92.67</v>
      </c>
      <c r="CD97" s="21">
        <f t="shared" si="236"/>
        <v>99.06</v>
      </c>
      <c r="CE97" s="21">
        <f t="shared" si="237"/>
        <v>95.86</v>
      </c>
      <c r="CF97" s="21">
        <f t="shared" si="238"/>
        <v>99.06</v>
      </c>
      <c r="CG97" s="21">
        <f t="shared" si="239"/>
        <v>95.86</v>
      </c>
      <c r="CH97" s="21">
        <f t="shared" si="240"/>
        <v>99.06</v>
      </c>
      <c r="CI97" s="21">
        <f t="shared" si="241"/>
        <v>99.06</v>
      </c>
      <c r="CJ97" s="21">
        <f t="shared" si="242"/>
        <v>95.86</v>
      </c>
      <c r="CK97" s="21">
        <f t="shared" si="243"/>
        <v>99.06</v>
      </c>
      <c r="CL97" s="21">
        <f t="shared" si="244"/>
        <v>95.86</v>
      </c>
      <c r="CM97" s="21">
        <f t="shared" si="245"/>
        <v>99.06</v>
      </c>
      <c r="CN97" s="21">
        <f t="shared" si="246"/>
        <v>1169.53</v>
      </c>
      <c r="CO97" s="26">
        <f t="shared" si="247"/>
        <v>3537.34</v>
      </c>
      <c r="CP97" s="21">
        <f t="shared" si="248"/>
        <v>99.06</v>
      </c>
      <c r="CQ97" s="21">
        <f t="shared" si="249"/>
        <v>89.47</v>
      </c>
      <c r="CR97" s="21">
        <f t="shared" si="250"/>
        <v>99.06</v>
      </c>
      <c r="CS97" s="21">
        <f t="shared" si="251"/>
        <v>95.86</v>
      </c>
      <c r="CT97" s="27">
        <f t="shared" si="252"/>
        <v>99.06</v>
      </c>
      <c r="CU97" s="21">
        <f t="shared" si="253"/>
        <v>95.86</v>
      </c>
      <c r="CV97" s="21">
        <f t="shared" si="254"/>
        <v>99.06</v>
      </c>
      <c r="CW97" s="21">
        <f t="shared" si="255"/>
        <v>99.06</v>
      </c>
      <c r="CX97" s="21">
        <f t="shared" si="256"/>
        <v>95.86</v>
      </c>
      <c r="CY97" s="21">
        <f t="shared" si="257"/>
        <v>99.06</v>
      </c>
      <c r="CZ97" s="21">
        <f t="shared" si="258"/>
        <v>95.86</v>
      </c>
      <c r="DA97" s="21">
        <f t="shared" si="259"/>
        <v>99.06</v>
      </c>
      <c r="DB97" s="26">
        <f t="shared" si="260"/>
        <v>1166.33</v>
      </c>
      <c r="DC97" s="26">
        <f t="shared" si="261"/>
        <v>4703.67</v>
      </c>
      <c r="DD97" s="21">
        <f t="shared" si="262"/>
        <v>99.06</v>
      </c>
      <c r="DE97" s="21">
        <f t="shared" si="268"/>
        <v>89.47</v>
      </c>
      <c r="DF97" s="21">
        <f t="shared" si="269"/>
        <v>99.06</v>
      </c>
      <c r="DG97" s="21">
        <f t="shared" si="270"/>
        <v>95.86</v>
      </c>
      <c r="DH97" s="21">
        <f t="shared" si="263"/>
        <v>99.06</v>
      </c>
      <c r="DI97" s="21">
        <f t="shared" si="264"/>
        <v>95.86</v>
      </c>
      <c r="DJ97" s="26"/>
      <c r="DK97" s="26"/>
      <c r="DL97" s="26"/>
      <c r="DM97" s="26"/>
      <c r="DN97" s="26"/>
      <c r="DO97" s="26"/>
      <c r="DP97" s="26">
        <f t="shared" si="265"/>
        <v>578.37</v>
      </c>
      <c r="DQ97" s="21">
        <f t="shared" si="266"/>
        <v>5282.04</v>
      </c>
      <c r="DR97" s="21">
        <f t="shared" si="267"/>
        <v>1197.71</v>
      </c>
    </row>
    <row r="98" spans="2:122" ht="24.75">
      <c r="B98" s="35">
        <v>41628</v>
      </c>
      <c r="C98" s="47" t="s">
        <v>266</v>
      </c>
      <c r="D98" s="47" t="s">
        <v>269</v>
      </c>
      <c r="E98" s="47" t="s">
        <v>175</v>
      </c>
      <c r="F98" s="36" t="s">
        <v>270</v>
      </c>
      <c r="G98" s="21">
        <v>6479.75</v>
      </c>
      <c r="H98" s="21">
        <f t="shared" si="198"/>
        <v>647.97500000000002</v>
      </c>
      <c r="I98" s="21">
        <f t="shared" si="199"/>
        <v>5831.7750000000005</v>
      </c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>
        <v>0</v>
      </c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>
        <v>0</v>
      </c>
      <c r="AW98" s="21">
        <f t="shared" si="271"/>
        <v>35.15</v>
      </c>
      <c r="AX98" s="21">
        <f t="shared" si="204"/>
        <v>35.15</v>
      </c>
      <c r="AY98" s="21">
        <f t="shared" si="205"/>
        <v>35.15</v>
      </c>
      <c r="AZ98" s="21">
        <f t="shared" si="206"/>
        <v>99.06</v>
      </c>
      <c r="BA98" s="21">
        <f t="shared" si="207"/>
        <v>89.47</v>
      </c>
      <c r="BB98" s="21">
        <f t="shared" si="208"/>
        <v>99.06</v>
      </c>
      <c r="BC98" s="21">
        <f t="shared" si="209"/>
        <v>95.86</v>
      </c>
      <c r="BD98" s="21">
        <f t="shared" si="210"/>
        <v>99.06</v>
      </c>
      <c r="BE98" s="21">
        <f t="shared" si="211"/>
        <v>95.86</v>
      </c>
      <c r="BF98" s="21">
        <f t="shared" si="212"/>
        <v>99.06</v>
      </c>
      <c r="BG98" s="21">
        <f t="shared" si="213"/>
        <v>99.06</v>
      </c>
      <c r="BH98" s="21">
        <f t="shared" si="214"/>
        <v>95.86</v>
      </c>
      <c r="BI98" s="21">
        <f t="shared" si="215"/>
        <v>99.06</v>
      </c>
      <c r="BJ98" s="21">
        <f t="shared" si="216"/>
        <v>95.86</v>
      </c>
      <c r="BK98" s="21">
        <f t="shared" si="217"/>
        <v>99.06</v>
      </c>
      <c r="BL98" s="21">
        <f t="shared" si="218"/>
        <v>1166.33</v>
      </c>
      <c r="BM98" s="21">
        <f t="shared" si="219"/>
        <v>1201.48</v>
      </c>
      <c r="BN98" s="21">
        <f t="shared" si="220"/>
        <v>99.06</v>
      </c>
      <c r="BO98" s="21">
        <f t="shared" si="221"/>
        <v>89.47</v>
      </c>
      <c r="BP98" s="21">
        <f t="shared" si="222"/>
        <v>99.06</v>
      </c>
      <c r="BQ98" s="21">
        <f t="shared" si="223"/>
        <v>95.86</v>
      </c>
      <c r="BR98" s="21">
        <f t="shared" si="224"/>
        <v>99.06</v>
      </c>
      <c r="BS98" s="21">
        <f t="shared" si="225"/>
        <v>95.86</v>
      </c>
      <c r="BT98" s="21">
        <f t="shared" si="226"/>
        <v>99.06</v>
      </c>
      <c r="BU98" s="21">
        <f t="shared" si="227"/>
        <v>99.06</v>
      </c>
      <c r="BV98" s="21">
        <f t="shared" si="228"/>
        <v>95.86</v>
      </c>
      <c r="BW98" s="21">
        <f t="shared" si="229"/>
        <v>99.06</v>
      </c>
      <c r="BX98" s="21">
        <f t="shared" si="230"/>
        <v>95.86</v>
      </c>
      <c r="BY98" s="21">
        <f t="shared" si="231"/>
        <v>99.06</v>
      </c>
      <c r="BZ98" s="21">
        <f t="shared" si="232"/>
        <v>1166.33</v>
      </c>
      <c r="CA98" s="21">
        <f t="shared" si="233"/>
        <v>2367.81</v>
      </c>
      <c r="CB98" s="21">
        <f t="shared" si="234"/>
        <v>99.06</v>
      </c>
      <c r="CC98" s="21">
        <f t="shared" si="235"/>
        <v>92.67</v>
      </c>
      <c r="CD98" s="21">
        <f t="shared" si="236"/>
        <v>99.06</v>
      </c>
      <c r="CE98" s="21">
        <f t="shared" si="237"/>
        <v>95.86</v>
      </c>
      <c r="CF98" s="21">
        <f t="shared" si="238"/>
        <v>99.06</v>
      </c>
      <c r="CG98" s="21">
        <f t="shared" si="239"/>
        <v>95.86</v>
      </c>
      <c r="CH98" s="21">
        <f t="shared" si="240"/>
        <v>99.06</v>
      </c>
      <c r="CI98" s="21">
        <f t="shared" si="241"/>
        <v>99.06</v>
      </c>
      <c r="CJ98" s="21">
        <f t="shared" si="242"/>
        <v>95.86</v>
      </c>
      <c r="CK98" s="21">
        <f t="shared" si="243"/>
        <v>99.06</v>
      </c>
      <c r="CL98" s="21">
        <f t="shared" si="244"/>
        <v>95.86</v>
      </c>
      <c r="CM98" s="21">
        <f t="shared" si="245"/>
        <v>99.06</v>
      </c>
      <c r="CN98" s="21">
        <f t="shared" si="246"/>
        <v>1169.53</v>
      </c>
      <c r="CO98" s="26">
        <f t="shared" si="247"/>
        <v>3537.34</v>
      </c>
      <c r="CP98" s="21">
        <f t="shared" si="248"/>
        <v>99.06</v>
      </c>
      <c r="CQ98" s="21">
        <f t="shared" si="249"/>
        <v>89.47</v>
      </c>
      <c r="CR98" s="21">
        <f t="shared" si="250"/>
        <v>99.06</v>
      </c>
      <c r="CS98" s="21">
        <f t="shared" si="251"/>
        <v>95.86</v>
      </c>
      <c r="CT98" s="27">
        <f t="shared" si="252"/>
        <v>99.06</v>
      </c>
      <c r="CU98" s="21">
        <f t="shared" si="253"/>
        <v>95.86</v>
      </c>
      <c r="CV98" s="21">
        <f t="shared" si="254"/>
        <v>99.06</v>
      </c>
      <c r="CW98" s="21">
        <f t="shared" si="255"/>
        <v>99.06</v>
      </c>
      <c r="CX98" s="21">
        <f t="shared" si="256"/>
        <v>95.86</v>
      </c>
      <c r="CY98" s="21">
        <f t="shared" si="257"/>
        <v>99.06</v>
      </c>
      <c r="CZ98" s="21">
        <f t="shared" si="258"/>
        <v>95.86</v>
      </c>
      <c r="DA98" s="21">
        <f t="shared" si="259"/>
        <v>99.06</v>
      </c>
      <c r="DB98" s="26">
        <f t="shared" si="260"/>
        <v>1166.33</v>
      </c>
      <c r="DC98" s="26">
        <f t="shared" si="261"/>
        <v>4703.67</v>
      </c>
      <c r="DD98" s="21">
        <f t="shared" si="262"/>
        <v>99.06</v>
      </c>
      <c r="DE98" s="21">
        <f t="shared" si="268"/>
        <v>89.47</v>
      </c>
      <c r="DF98" s="21">
        <f t="shared" si="269"/>
        <v>99.06</v>
      </c>
      <c r="DG98" s="21">
        <f t="shared" si="270"/>
        <v>95.86</v>
      </c>
      <c r="DH98" s="21">
        <f t="shared" si="263"/>
        <v>99.06</v>
      </c>
      <c r="DI98" s="21">
        <f t="shared" si="264"/>
        <v>95.86</v>
      </c>
      <c r="DJ98" s="26"/>
      <c r="DK98" s="26"/>
      <c r="DL98" s="26"/>
      <c r="DM98" s="26"/>
      <c r="DN98" s="26"/>
      <c r="DO98" s="26"/>
      <c r="DP98" s="26">
        <f t="shared" si="265"/>
        <v>578.37</v>
      </c>
      <c r="DQ98" s="21">
        <f t="shared" si="266"/>
        <v>5282.04</v>
      </c>
      <c r="DR98" s="21">
        <f t="shared" si="267"/>
        <v>1197.71</v>
      </c>
    </row>
    <row r="99" spans="2:122" ht="8.25">
      <c r="B99" s="35">
        <v>41725</v>
      </c>
      <c r="C99" s="35" t="s">
        <v>271</v>
      </c>
      <c r="D99" s="35" t="s">
        <v>272</v>
      </c>
      <c r="E99" s="35" t="s">
        <v>98</v>
      </c>
      <c r="F99" s="35" t="s">
        <v>273</v>
      </c>
      <c r="G99" s="21">
        <v>750</v>
      </c>
      <c r="H99" s="21">
        <f t="shared" si="198"/>
        <v>75</v>
      </c>
      <c r="I99" s="21">
        <f t="shared" si="199"/>
        <v>675</v>
      </c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21">
        <f t="shared" si="205"/>
        <v>0</v>
      </c>
      <c r="AZ99" s="48"/>
      <c r="BA99" s="48"/>
      <c r="BB99" s="21">
        <f>ROUND((I99/5/365*4),2)</f>
        <v>1.48</v>
      </c>
      <c r="BC99" s="21">
        <f t="shared" si="209"/>
        <v>11.1</v>
      </c>
      <c r="BD99" s="21">
        <f t="shared" si="210"/>
        <v>11.47</v>
      </c>
      <c r="BE99" s="21">
        <f t="shared" si="211"/>
        <v>11.1</v>
      </c>
      <c r="BF99" s="21">
        <f t="shared" si="212"/>
        <v>11.47</v>
      </c>
      <c r="BG99" s="21">
        <f t="shared" si="213"/>
        <v>11.47</v>
      </c>
      <c r="BH99" s="21">
        <f t="shared" si="214"/>
        <v>11.1</v>
      </c>
      <c r="BI99" s="21">
        <f t="shared" si="215"/>
        <v>11.47</v>
      </c>
      <c r="BJ99" s="21">
        <f t="shared" si="216"/>
        <v>11.1</v>
      </c>
      <c r="BK99" s="21">
        <f t="shared" si="217"/>
        <v>11.47</v>
      </c>
      <c r="BL99" s="21">
        <f t="shared" si="218"/>
        <v>103.22999999999999</v>
      </c>
      <c r="BM99" s="21">
        <f t="shared" si="219"/>
        <v>103.23</v>
      </c>
      <c r="BN99" s="21">
        <f t="shared" si="220"/>
        <v>11.47</v>
      </c>
      <c r="BO99" s="21">
        <f t="shared" si="221"/>
        <v>10.36</v>
      </c>
      <c r="BP99" s="21">
        <f t="shared" si="222"/>
        <v>11.47</v>
      </c>
      <c r="BQ99" s="21">
        <f t="shared" si="223"/>
        <v>11.1</v>
      </c>
      <c r="BR99" s="21">
        <f t="shared" si="224"/>
        <v>11.47</v>
      </c>
      <c r="BS99" s="21">
        <f t="shared" si="225"/>
        <v>11.1</v>
      </c>
      <c r="BT99" s="21">
        <f t="shared" si="226"/>
        <v>11.47</v>
      </c>
      <c r="BU99" s="21">
        <f t="shared" si="227"/>
        <v>11.47</v>
      </c>
      <c r="BV99" s="21">
        <f t="shared" si="228"/>
        <v>11.1</v>
      </c>
      <c r="BW99" s="21">
        <f t="shared" si="229"/>
        <v>11.47</v>
      </c>
      <c r="BX99" s="21">
        <f t="shared" si="230"/>
        <v>11.1</v>
      </c>
      <c r="BY99" s="21">
        <f t="shared" si="231"/>
        <v>11.47</v>
      </c>
      <c r="BZ99" s="21">
        <f t="shared" si="232"/>
        <v>135.04999999999998</v>
      </c>
      <c r="CA99" s="21">
        <f t="shared" si="233"/>
        <v>238.28</v>
      </c>
      <c r="CB99" s="21">
        <f t="shared" si="234"/>
        <v>11.47</v>
      </c>
      <c r="CC99" s="21">
        <f t="shared" si="235"/>
        <v>10.73</v>
      </c>
      <c r="CD99" s="21">
        <f t="shared" si="236"/>
        <v>11.47</v>
      </c>
      <c r="CE99" s="21">
        <f t="shared" si="237"/>
        <v>11.1</v>
      </c>
      <c r="CF99" s="21">
        <f t="shared" si="238"/>
        <v>11.47</v>
      </c>
      <c r="CG99" s="21">
        <f t="shared" si="239"/>
        <v>11.1</v>
      </c>
      <c r="CH99" s="21">
        <f t="shared" si="240"/>
        <v>11.47</v>
      </c>
      <c r="CI99" s="21">
        <f t="shared" si="241"/>
        <v>11.47</v>
      </c>
      <c r="CJ99" s="21">
        <f t="shared" si="242"/>
        <v>11.1</v>
      </c>
      <c r="CK99" s="21">
        <f t="shared" si="243"/>
        <v>11.47</v>
      </c>
      <c r="CL99" s="21">
        <f t="shared" si="244"/>
        <v>11.1</v>
      </c>
      <c r="CM99" s="21">
        <f t="shared" si="245"/>
        <v>11.47</v>
      </c>
      <c r="CN99" s="21">
        <f t="shared" si="246"/>
        <v>135.41999999999999</v>
      </c>
      <c r="CO99" s="26">
        <f t="shared" si="247"/>
        <v>373.7</v>
      </c>
      <c r="CP99" s="21">
        <f t="shared" si="248"/>
        <v>11.47</v>
      </c>
      <c r="CQ99" s="21">
        <f t="shared" si="249"/>
        <v>10.36</v>
      </c>
      <c r="CR99" s="21">
        <f t="shared" si="250"/>
        <v>11.47</v>
      </c>
      <c r="CS99" s="21">
        <f t="shared" si="251"/>
        <v>11.1</v>
      </c>
      <c r="CT99" s="27">
        <f t="shared" si="252"/>
        <v>11.47</v>
      </c>
      <c r="CU99" s="21">
        <f t="shared" si="253"/>
        <v>11.1</v>
      </c>
      <c r="CV99" s="21">
        <f t="shared" si="254"/>
        <v>11.47</v>
      </c>
      <c r="CW99" s="21">
        <f t="shared" si="255"/>
        <v>11.47</v>
      </c>
      <c r="CX99" s="21">
        <f t="shared" si="256"/>
        <v>11.1</v>
      </c>
      <c r="CY99" s="21">
        <f t="shared" si="257"/>
        <v>11.47</v>
      </c>
      <c r="CZ99" s="21">
        <f t="shared" si="258"/>
        <v>11.1</v>
      </c>
      <c r="DA99" s="21">
        <f t="shared" si="259"/>
        <v>11.47</v>
      </c>
      <c r="DB99" s="26">
        <f t="shared" si="260"/>
        <v>135.04999999999998</v>
      </c>
      <c r="DC99" s="26">
        <f t="shared" si="261"/>
        <v>508.75</v>
      </c>
      <c r="DD99" s="21">
        <f t="shared" si="262"/>
        <v>11.47</v>
      </c>
      <c r="DE99" s="21">
        <f t="shared" si="268"/>
        <v>10.36</v>
      </c>
      <c r="DF99" s="21">
        <f t="shared" si="269"/>
        <v>11.47</v>
      </c>
      <c r="DG99" s="21">
        <f t="shared" si="270"/>
        <v>11.1</v>
      </c>
      <c r="DH99" s="21">
        <f t="shared" si="263"/>
        <v>11.47</v>
      </c>
      <c r="DI99" s="21">
        <f t="shared" si="264"/>
        <v>11.1</v>
      </c>
      <c r="DJ99" s="26"/>
      <c r="DK99" s="26"/>
      <c r="DL99" s="26"/>
      <c r="DM99" s="26"/>
      <c r="DN99" s="26"/>
      <c r="DO99" s="26"/>
      <c r="DP99" s="26">
        <f t="shared" si="265"/>
        <v>66.97</v>
      </c>
      <c r="DQ99" s="21">
        <f t="shared" si="266"/>
        <v>575.72</v>
      </c>
      <c r="DR99" s="21">
        <f t="shared" si="267"/>
        <v>174.27999999999997</v>
      </c>
    </row>
    <row r="100" spans="2:122" ht="41.25">
      <c r="B100" s="35">
        <v>41732</v>
      </c>
      <c r="C100" s="35" t="s">
        <v>274</v>
      </c>
      <c r="D100" s="35" t="s">
        <v>275</v>
      </c>
      <c r="E100" s="35" t="s">
        <v>121</v>
      </c>
      <c r="F100" s="35" t="s">
        <v>276</v>
      </c>
      <c r="G100" s="21">
        <v>600.03</v>
      </c>
      <c r="H100" s="21">
        <f t="shared" si="198"/>
        <v>60.003</v>
      </c>
      <c r="I100" s="21">
        <f t="shared" si="199"/>
        <v>540.02700000000004</v>
      </c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21">
        <f t="shared" si="205"/>
        <v>0</v>
      </c>
      <c r="AZ100" s="48"/>
      <c r="BA100" s="48"/>
      <c r="BB100" s="21"/>
      <c r="BC100" s="21">
        <f>ROUND((I100/5/365*27),2)</f>
        <v>7.99</v>
      </c>
      <c r="BD100" s="21">
        <f t="shared" si="210"/>
        <v>9.17</v>
      </c>
      <c r="BE100" s="21">
        <f t="shared" si="211"/>
        <v>8.8800000000000008</v>
      </c>
      <c r="BF100" s="21">
        <f t="shared" si="212"/>
        <v>9.17</v>
      </c>
      <c r="BG100" s="21">
        <f t="shared" si="213"/>
        <v>9.17</v>
      </c>
      <c r="BH100" s="21">
        <f t="shared" si="214"/>
        <v>8.8800000000000008</v>
      </c>
      <c r="BI100" s="21">
        <f t="shared" si="215"/>
        <v>9.17</v>
      </c>
      <c r="BJ100" s="21">
        <f t="shared" si="216"/>
        <v>8.8800000000000008</v>
      </c>
      <c r="BK100" s="21">
        <f t="shared" si="217"/>
        <v>9.17</v>
      </c>
      <c r="BL100" s="21">
        <f t="shared" si="218"/>
        <v>80.48</v>
      </c>
      <c r="BM100" s="21">
        <f t="shared" si="219"/>
        <v>80.48</v>
      </c>
      <c r="BN100" s="21">
        <f t="shared" si="220"/>
        <v>9.17</v>
      </c>
      <c r="BO100" s="21">
        <f t="shared" si="221"/>
        <v>8.2899999999999991</v>
      </c>
      <c r="BP100" s="21">
        <f t="shared" si="222"/>
        <v>9.17</v>
      </c>
      <c r="BQ100" s="21">
        <f t="shared" si="223"/>
        <v>8.8800000000000008</v>
      </c>
      <c r="BR100" s="21">
        <f t="shared" si="224"/>
        <v>9.17</v>
      </c>
      <c r="BS100" s="21">
        <f t="shared" si="225"/>
        <v>8.8800000000000008</v>
      </c>
      <c r="BT100" s="21">
        <f t="shared" si="226"/>
        <v>9.17</v>
      </c>
      <c r="BU100" s="21">
        <f t="shared" si="227"/>
        <v>9.17</v>
      </c>
      <c r="BV100" s="21">
        <f t="shared" si="228"/>
        <v>8.8800000000000008</v>
      </c>
      <c r="BW100" s="21">
        <f t="shared" si="229"/>
        <v>9.17</v>
      </c>
      <c r="BX100" s="21">
        <f t="shared" si="230"/>
        <v>8.8800000000000008</v>
      </c>
      <c r="BY100" s="21">
        <f t="shared" si="231"/>
        <v>9.17</v>
      </c>
      <c r="BZ100" s="21">
        <f t="shared" si="232"/>
        <v>108</v>
      </c>
      <c r="CA100" s="21">
        <f t="shared" si="233"/>
        <v>188.48</v>
      </c>
      <c r="CB100" s="21">
        <f t="shared" si="234"/>
        <v>9.17</v>
      </c>
      <c r="CC100" s="21">
        <f t="shared" si="235"/>
        <v>8.58</v>
      </c>
      <c r="CD100" s="21">
        <f t="shared" si="236"/>
        <v>9.17</v>
      </c>
      <c r="CE100" s="21">
        <f t="shared" si="237"/>
        <v>8.8800000000000008</v>
      </c>
      <c r="CF100" s="21">
        <f t="shared" si="238"/>
        <v>9.17</v>
      </c>
      <c r="CG100" s="21">
        <f t="shared" si="239"/>
        <v>8.8800000000000008</v>
      </c>
      <c r="CH100" s="21">
        <f t="shared" si="240"/>
        <v>9.17</v>
      </c>
      <c r="CI100" s="21">
        <f t="shared" si="241"/>
        <v>9.17</v>
      </c>
      <c r="CJ100" s="21">
        <f t="shared" si="242"/>
        <v>8.8800000000000008</v>
      </c>
      <c r="CK100" s="21">
        <f t="shared" si="243"/>
        <v>9.17</v>
      </c>
      <c r="CL100" s="21">
        <f t="shared" si="244"/>
        <v>8.8800000000000008</v>
      </c>
      <c r="CM100" s="21">
        <f t="shared" si="245"/>
        <v>9.17</v>
      </c>
      <c r="CN100" s="21">
        <f t="shared" si="246"/>
        <v>108.29</v>
      </c>
      <c r="CO100" s="26">
        <f t="shared" si="247"/>
        <v>296.77</v>
      </c>
      <c r="CP100" s="21">
        <f t="shared" si="248"/>
        <v>9.17</v>
      </c>
      <c r="CQ100" s="21">
        <f t="shared" si="249"/>
        <v>8.2899999999999991</v>
      </c>
      <c r="CR100" s="21">
        <f t="shared" si="250"/>
        <v>9.17</v>
      </c>
      <c r="CS100" s="21">
        <f t="shared" si="251"/>
        <v>8.8800000000000008</v>
      </c>
      <c r="CT100" s="27">
        <f t="shared" si="252"/>
        <v>9.17</v>
      </c>
      <c r="CU100" s="21">
        <f t="shared" si="253"/>
        <v>8.8800000000000008</v>
      </c>
      <c r="CV100" s="21">
        <f t="shared" si="254"/>
        <v>9.17</v>
      </c>
      <c r="CW100" s="21">
        <f t="shared" si="255"/>
        <v>9.17</v>
      </c>
      <c r="CX100" s="21">
        <f t="shared" si="256"/>
        <v>8.8800000000000008</v>
      </c>
      <c r="CY100" s="21">
        <f t="shared" si="257"/>
        <v>9.17</v>
      </c>
      <c r="CZ100" s="21">
        <f t="shared" si="258"/>
        <v>8.8800000000000008</v>
      </c>
      <c r="DA100" s="21">
        <f t="shared" si="259"/>
        <v>9.17</v>
      </c>
      <c r="DB100" s="26">
        <f t="shared" si="260"/>
        <v>108</v>
      </c>
      <c r="DC100" s="26">
        <f t="shared" si="261"/>
        <v>404.77</v>
      </c>
      <c r="DD100" s="21">
        <f t="shared" si="262"/>
        <v>9.17</v>
      </c>
      <c r="DE100" s="21">
        <f t="shared" si="268"/>
        <v>8.2899999999999991</v>
      </c>
      <c r="DF100" s="21">
        <f t="shared" si="269"/>
        <v>9.17</v>
      </c>
      <c r="DG100" s="21">
        <f t="shared" si="270"/>
        <v>8.8800000000000008</v>
      </c>
      <c r="DH100" s="21">
        <f t="shared" si="263"/>
        <v>9.17</v>
      </c>
      <c r="DI100" s="21">
        <f t="shared" si="264"/>
        <v>8.8800000000000008</v>
      </c>
      <c r="DJ100" s="26"/>
      <c r="DK100" s="26"/>
      <c r="DL100" s="26"/>
      <c r="DM100" s="26"/>
      <c r="DN100" s="26"/>
      <c r="DO100" s="26"/>
      <c r="DP100" s="26">
        <f t="shared" si="265"/>
        <v>53.560000000000009</v>
      </c>
      <c r="DQ100" s="21">
        <f t="shared" si="266"/>
        <v>458.33</v>
      </c>
      <c r="DR100" s="21">
        <f t="shared" si="267"/>
        <v>141.69999999999999</v>
      </c>
    </row>
    <row r="101" spans="2:122" ht="49.5">
      <c r="B101" s="35">
        <v>41949</v>
      </c>
      <c r="C101" s="35" t="s">
        <v>249</v>
      </c>
      <c r="D101" s="35" t="s">
        <v>277</v>
      </c>
      <c r="E101" s="35" t="s">
        <v>216</v>
      </c>
      <c r="F101" s="35" t="s">
        <v>278</v>
      </c>
      <c r="G101" s="21">
        <v>1180</v>
      </c>
      <c r="H101" s="21">
        <f t="shared" si="198"/>
        <v>118</v>
      </c>
      <c r="I101" s="21">
        <f t="shared" si="199"/>
        <v>1062</v>
      </c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21"/>
      <c r="AZ101" s="48"/>
      <c r="BA101" s="48"/>
      <c r="BB101" s="21"/>
      <c r="BC101" s="21"/>
      <c r="BD101" s="21"/>
      <c r="BE101" s="21"/>
      <c r="BF101" s="21"/>
      <c r="BG101" s="21"/>
      <c r="BH101" s="21"/>
      <c r="BI101" s="21"/>
      <c r="BJ101" s="21">
        <f>ROUND((I101/5/365*24),2)</f>
        <v>13.97</v>
      </c>
      <c r="BK101" s="21">
        <f t="shared" si="217"/>
        <v>18.04</v>
      </c>
      <c r="BL101" s="21">
        <f t="shared" si="218"/>
        <v>32.01</v>
      </c>
      <c r="BM101" s="21">
        <f t="shared" si="219"/>
        <v>32.01</v>
      </c>
      <c r="BN101" s="21">
        <f t="shared" si="220"/>
        <v>18.04</v>
      </c>
      <c r="BO101" s="21">
        <f t="shared" si="221"/>
        <v>16.29</v>
      </c>
      <c r="BP101" s="21">
        <f t="shared" si="222"/>
        <v>18.04</v>
      </c>
      <c r="BQ101" s="21">
        <f t="shared" si="223"/>
        <v>17.46</v>
      </c>
      <c r="BR101" s="21">
        <f t="shared" si="224"/>
        <v>18.04</v>
      </c>
      <c r="BS101" s="21">
        <f t="shared" si="225"/>
        <v>17.46</v>
      </c>
      <c r="BT101" s="21">
        <f t="shared" si="226"/>
        <v>18.04</v>
      </c>
      <c r="BU101" s="21">
        <f t="shared" si="227"/>
        <v>18.04</v>
      </c>
      <c r="BV101" s="21">
        <f t="shared" si="228"/>
        <v>17.46</v>
      </c>
      <c r="BW101" s="21">
        <f t="shared" si="229"/>
        <v>18.04</v>
      </c>
      <c r="BX101" s="21">
        <f t="shared" si="230"/>
        <v>17.46</v>
      </c>
      <c r="BY101" s="21">
        <f t="shared" si="231"/>
        <v>18.04</v>
      </c>
      <c r="BZ101" s="21">
        <f t="shared" si="232"/>
        <v>212.41</v>
      </c>
      <c r="CA101" s="21">
        <f t="shared" si="233"/>
        <v>244.42</v>
      </c>
      <c r="CB101" s="21">
        <f t="shared" si="234"/>
        <v>18.04</v>
      </c>
      <c r="CC101" s="21">
        <f t="shared" si="235"/>
        <v>16.88</v>
      </c>
      <c r="CD101" s="21">
        <f t="shared" si="236"/>
        <v>18.04</v>
      </c>
      <c r="CE101" s="21">
        <f t="shared" si="237"/>
        <v>17.46</v>
      </c>
      <c r="CF101" s="21">
        <f t="shared" si="238"/>
        <v>18.04</v>
      </c>
      <c r="CG101" s="21">
        <f t="shared" si="239"/>
        <v>17.46</v>
      </c>
      <c r="CH101" s="21">
        <f t="shared" si="240"/>
        <v>18.04</v>
      </c>
      <c r="CI101" s="21">
        <f t="shared" si="241"/>
        <v>18.04</v>
      </c>
      <c r="CJ101" s="21">
        <f t="shared" si="242"/>
        <v>17.46</v>
      </c>
      <c r="CK101" s="21">
        <f t="shared" si="243"/>
        <v>18.04</v>
      </c>
      <c r="CL101" s="21">
        <f t="shared" si="244"/>
        <v>17.46</v>
      </c>
      <c r="CM101" s="21">
        <f t="shared" si="245"/>
        <v>18.04</v>
      </c>
      <c r="CN101" s="21">
        <f t="shared" si="246"/>
        <v>213</v>
      </c>
      <c r="CO101" s="26">
        <f t="shared" si="247"/>
        <v>457.42</v>
      </c>
      <c r="CP101" s="21">
        <f t="shared" si="248"/>
        <v>18.04</v>
      </c>
      <c r="CQ101" s="21">
        <f t="shared" si="249"/>
        <v>16.29</v>
      </c>
      <c r="CR101" s="21">
        <f t="shared" si="250"/>
        <v>18.04</v>
      </c>
      <c r="CS101" s="21">
        <f t="shared" si="251"/>
        <v>17.46</v>
      </c>
      <c r="CT101" s="27">
        <f t="shared" si="252"/>
        <v>18.04</v>
      </c>
      <c r="CU101" s="21">
        <f t="shared" si="253"/>
        <v>17.46</v>
      </c>
      <c r="CV101" s="21">
        <f t="shared" si="254"/>
        <v>18.04</v>
      </c>
      <c r="CW101" s="21">
        <f t="shared" si="255"/>
        <v>18.04</v>
      </c>
      <c r="CX101" s="21">
        <f t="shared" si="256"/>
        <v>17.46</v>
      </c>
      <c r="CY101" s="21">
        <f t="shared" si="257"/>
        <v>18.04</v>
      </c>
      <c r="CZ101" s="21">
        <f t="shared" si="258"/>
        <v>17.46</v>
      </c>
      <c r="DA101" s="21">
        <f t="shared" si="259"/>
        <v>18.04</v>
      </c>
      <c r="DB101" s="26">
        <f t="shared" si="260"/>
        <v>212.41</v>
      </c>
      <c r="DC101" s="26">
        <f t="shared" si="261"/>
        <v>669.83</v>
      </c>
      <c r="DD101" s="21">
        <f t="shared" si="262"/>
        <v>18.04</v>
      </c>
      <c r="DE101" s="21">
        <f t="shared" si="268"/>
        <v>16.29</v>
      </c>
      <c r="DF101" s="21">
        <f t="shared" si="269"/>
        <v>18.04</v>
      </c>
      <c r="DG101" s="21">
        <f t="shared" si="270"/>
        <v>17.46</v>
      </c>
      <c r="DH101" s="21">
        <f t="shared" si="263"/>
        <v>18.04</v>
      </c>
      <c r="DI101" s="21">
        <f t="shared" si="264"/>
        <v>17.46</v>
      </c>
      <c r="DJ101" s="26"/>
      <c r="DK101" s="26"/>
      <c r="DL101" s="26"/>
      <c r="DM101" s="26"/>
      <c r="DN101" s="26"/>
      <c r="DO101" s="26"/>
      <c r="DP101" s="26">
        <f t="shared" si="265"/>
        <v>105.33000000000001</v>
      </c>
      <c r="DQ101" s="21">
        <f t="shared" si="266"/>
        <v>775.16</v>
      </c>
      <c r="DR101" s="21">
        <f t="shared" si="267"/>
        <v>404.84000000000003</v>
      </c>
    </row>
    <row r="102" spans="2:122" ht="16.5">
      <c r="B102" s="35">
        <v>41955</v>
      </c>
      <c r="C102" s="47" t="s">
        <v>279</v>
      </c>
      <c r="D102" s="36" t="s">
        <v>280</v>
      </c>
      <c r="E102" s="35" t="s">
        <v>209</v>
      </c>
      <c r="F102" s="47" t="s">
        <v>281</v>
      </c>
      <c r="G102" s="21">
        <v>1921</v>
      </c>
      <c r="H102" s="21">
        <f t="shared" si="198"/>
        <v>192.10000000000002</v>
      </c>
      <c r="I102" s="21">
        <f t="shared" si="199"/>
        <v>1728.9</v>
      </c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21"/>
      <c r="AZ102" s="48"/>
      <c r="BA102" s="48"/>
      <c r="BB102" s="21"/>
      <c r="BC102" s="21"/>
      <c r="BD102" s="21"/>
      <c r="BE102" s="21"/>
      <c r="BF102" s="21"/>
      <c r="BG102" s="21"/>
      <c r="BH102" s="21"/>
      <c r="BI102" s="21"/>
      <c r="BJ102" s="21">
        <f>ROUND((I102/5/365*18),2)</f>
        <v>17.05</v>
      </c>
      <c r="BK102" s="21">
        <f t="shared" si="217"/>
        <v>29.37</v>
      </c>
      <c r="BL102" s="21">
        <f t="shared" si="218"/>
        <v>46.42</v>
      </c>
      <c r="BM102" s="21">
        <f t="shared" si="219"/>
        <v>46.42</v>
      </c>
      <c r="BN102" s="21">
        <f t="shared" si="220"/>
        <v>29.37</v>
      </c>
      <c r="BO102" s="21">
        <f t="shared" si="221"/>
        <v>26.53</v>
      </c>
      <c r="BP102" s="21">
        <f t="shared" si="222"/>
        <v>29.37</v>
      </c>
      <c r="BQ102" s="21">
        <f t="shared" si="223"/>
        <v>28.42</v>
      </c>
      <c r="BR102" s="21">
        <f t="shared" si="224"/>
        <v>29.37</v>
      </c>
      <c r="BS102" s="21">
        <f t="shared" si="225"/>
        <v>28.42</v>
      </c>
      <c r="BT102" s="21">
        <f t="shared" si="226"/>
        <v>29.37</v>
      </c>
      <c r="BU102" s="21">
        <f t="shared" si="227"/>
        <v>29.37</v>
      </c>
      <c r="BV102" s="21">
        <f t="shared" si="228"/>
        <v>28.42</v>
      </c>
      <c r="BW102" s="21">
        <f t="shared" si="229"/>
        <v>29.37</v>
      </c>
      <c r="BX102" s="21">
        <f t="shared" si="230"/>
        <v>28.42</v>
      </c>
      <c r="BY102" s="21">
        <f t="shared" si="231"/>
        <v>29.37</v>
      </c>
      <c r="BZ102" s="21">
        <f t="shared" si="232"/>
        <v>345.80000000000007</v>
      </c>
      <c r="CA102" s="21">
        <f t="shared" si="233"/>
        <v>392.22</v>
      </c>
      <c r="CB102" s="21">
        <f t="shared" si="234"/>
        <v>29.37</v>
      </c>
      <c r="CC102" s="21">
        <f t="shared" si="235"/>
        <v>27.47</v>
      </c>
      <c r="CD102" s="21">
        <f t="shared" si="236"/>
        <v>29.37</v>
      </c>
      <c r="CE102" s="21">
        <f t="shared" si="237"/>
        <v>28.42</v>
      </c>
      <c r="CF102" s="21">
        <f t="shared" si="238"/>
        <v>29.37</v>
      </c>
      <c r="CG102" s="21">
        <f t="shared" si="239"/>
        <v>28.42</v>
      </c>
      <c r="CH102" s="21">
        <f t="shared" si="240"/>
        <v>29.37</v>
      </c>
      <c r="CI102" s="21">
        <f t="shared" si="241"/>
        <v>29.37</v>
      </c>
      <c r="CJ102" s="21">
        <f t="shared" si="242"/>
        <v>28.42</v>
      </c>
      <c r="CK102" s="21">
        <f t="shared" si="243"/>
        <v>29.37</v>
      </c>
      <c r="CL102" s="21">
        <f t="shared" si="244"/>
        <v>28.42</v>
      </c>
      <c r="CM102" s="21">
        <f t="shared" si="245"/>
        <v>29.37</v>
      </c>
      <c r="CN102" s="21">
        <f t="shared" si="246"/>
        <v>346.74000000000007</v>
      </c>
      <c r="CO102" s="26">
        <f t="shared" si="247"/>
        <v>738.96</v>
      </c>
      <c r="CP102" s="21">
        <f t="shared" si="248"/>
        <v>29.37</v>
      </c>
      <c r="CQ102" s="21">
        <f t="shared" si="249"/>
        <v>26.53</v>
      </c>
      <c r="CR102" s="21">
        <f t="shared" si="250"/>
        <v>29.37</v>
      </c>
      <c r="CS102" s="21">
        <f t="shared" si="251"/>
        <v>28.42</v>
      </c>
      <c r="CT102" s="27">
        <f t="shared" si="252"/>
        <v>29.37</v>
      </c>
      <c r="CU102" s="21">
        <f t="shared" si="253"/>
        <v>28.42</v>
      </c>
      <c r="CV102" s="21">
        <f t="shared" si="254"/>
        <v>29.37</v>
      </c>
      <c r="CW102" s="21">
        <f t="shared" si="255"/>
        <v>29.37</v>
      </c>
      <c r="CX102" s="21">
        <f t="shared" si="256"/>
        <v>28.42</v>
      </c>
      <c r="CY102" s="21">
        <f t="shared" si="257"/>
        <v>29.37</v>
      </c>
      <c r="CZ102" s="21">
        <f t="shared" si="258"/>
        <v>28.42</v>
      </c>
      <c r="DA102" s="21">
        <f t="shared" si="259"/>
        <v>29.37</v>
      </c>
      <c r="DB102" s="26">
        <f t="shared" si="260"/>
        <v>345.80000000000007</v>
      </c>
      <c r="DC102" s="26">
        <f t="shared" si="261"/>
        <v>1084.76</v>
      </c>
      <c r="DD102" s="21">
        <f t="shared" si="262"/>
        <v>29.37</v>
      </c>
      <c r="DE102" s="21">
        <f t="shared" si="268"/>
        <v>26.53</v>
      </c>
      <c r="DF102" s="21">
        <f t="shared" si="269"/>
        <v>29.37</v>
      </c>
      <c r="DG102" s="21">
        <f t="shared" si="270"/>
        <v>28.42</v>
      </c>
      <c r="DH102" s="21">
        <f t="shared" si="263"/>
        <v>29.37</v>
      </c>
      <c r="DI102" s="21">
        <f t="shared" si="264"/>
        <v>28.42</v>
      </c>
      <c r="DJ102" s="26"/>
      <c r="DK102" s="26"/>
      <c r="DL102" s="26"/>
      <c r="DM102" s="26"/>
      <c r="DN102" s="26"/>
      <c r="DO102" s="26"/>
      <c r="DP102" s="26">
        <f t="shared" si="265"/>
        <v>171.48000000000002</v>
      </c>
      <c r="DQ102" s="21">
        <f t="shared" si="266"/>
        <v>1256.24</v>
      </c>
      <c r="DR102" s="21">
        <f t="shared" si="267"/>
        <v>664.76</v>
      </c>
    </row>
    <row r="103" spans="2:122" ht="16.5">
      <c r="B103" s="35">
        <v>41978</v>
      </c>
      <c r="C103" s="36" t="s">
        <v>266</v>
      </c>
      <c r="D103" s="36" t="s">
        <v>282</v>
      </c>
      <c r="E103" s="35" t="s">
        <v>283</v>
      </c>
      <c r="F103" s="47" t="s">
        <v>284</v>
      </c>
      <c r="G103" s="21">
        <v>847.5</v>
      </c>
      <c r="H103" s="21">
        <f t="shared" si="198"/>
        <v>84.75</v>
      </c>
      <c r="I103" s="21">
        <f t="shared" si="199"/>
        <v>762.75</v>
      </c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21"/>
      <c r="AZ103" s="48"/>
      <c r="BA103" s="48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>
        <f t="shared" ref="BK103:BK108" si="272">ROUND((I103/5/365*26),2)</f>
        <v>10.87</v>
      </c>
      <c r="BL103" s="21">
        <f t="shared" si="218"/>
        <v>10.87</v>
      </c>
      <c r="BM103" s="21">
        <f t="shared" si="219"/>
        <v>10.87</v>
      </c>
      <c r="BN103" s="21">
        <f t="shared" si="220"/>
        <v>12.96</v>
      </c>
      <c r="BO103" s="21">
        <f t="shared" si="221"/>
        <v>11.7</v>
      </c>
      <c r="BP103" s="21">
        <f t="shared" si="222"/>
        <v>12.96</v>
      </c>
      <c r="BQ103" s="21">
        <f t="shared" si="223"/>
        <v>12.54</v>
      </c>
      <c r="BR103" s="21">
        <f t="shared" si="224"/>
        <v>12.96</v>
      </c>
      <c r="BS103" s="21">
        <f t="shared" si="225"/>
        <v>12.54</v>
      </c>
      <c r="BT103" s="21">
        <f t="shared" si="226"/>
        <v>12.96</v>
      </c>
      <c r="BU103" s="21">
        <f t="shared" si="227"/>
        <v>12.96</v>
      </c>
      <c r="BV103" s="21">
        <f t="shared" si="228"/>
        <v>12.54</v>
      </c>
      <c r="BW103" s="21">
        <f t="shared" si="229"/>
        <v>12.96</v>
      </c>
      <c r="BX103" s="21">
        <f t="shared" si="230"/>
        <v>12.54</v>
      </c>
      <c r="BY103" s="21">
        <f t="shared" si="231"/>
        <v>12.96</v>
      </c>
      <c r="BZ103" s="21">
        <f t="shared" si="232"/>
        <v>152.58000000000001</v>
      </c>
      <c r="CA103" s="21">
        <f t="shared" si="233"/>
        <v>163.44999999999999</v>
      </c>
      <c r="CB103" s="21">
        <f t="shared" si="234"/>
        <v>12.96</v>
      </c>
      <c r="CC103" s="21">
        <f t="shared" si="235"/>
        <v>12.12</v>
      </c>
      <c r="CD103" s="21">
        <f t="shared" si="236"/>
        <v>12.96</v>
      </c>
      <c r="CE103" s="21">
        <f t="shared" si="237"/>
        <v>12.54</v>
      </c>
      <c r="CF103" s="21">
        <f t="shared" si="238"/>
        <v>12.96</v>
      </c>
      <c r="CG103" s="21">
        <f t="shared" si="239"/>
        <v>12.54</v>
      </c>
      <c r="CH103" s="21">
        <f t="shared" si="240"/>
        <v>12.96</v>
      </c>
      <c r="CI103" s="21">
        <f t="shared" si="241"/>
        <v>12.96</v>
      </c>
      <c r="CJ103" s="21">
        <f t="shared" si="242"/>
        <v>12.54</v>
      </c>
      <c r="CK103" s="21">
        <f t="shared" si="243"/>
        <v>12.96</v>
      </c>
      <c r="CL103" s="21">
        <f t="shared" si="244"/>
        <v>12.54</v>
      </c>
      <c r="CM103" s="21">
        <f t="shared" si="245"/>
        <v>12.96</v>
      </c>
      <c r="CN103" s="21">
        <f t="shared" si="246"/>
        <v>153</v>
      </c>
      <c r="CO103" s="26">
        <f t="shared" si="247"/>
        <v>316.45</v>
      </c>
      <c r="CP103" s="21">
        <f t="shared" si="248"/>
        <v>12.96</v>
      </c>
      <c r="CQ103" s="21">
        <f t="shared" si="249"/>
        <v>11.7</v>
      </c>
      <c r="CR103" s="21">
        <f t="shared" si="250"/>
        <v>12.96</v>
      </c>
      <c r="CS103" s="21">
        <f t="shared" si="251"/>
        <v>12.54</v>
      </c>
      <c r="CT103" s="27">
        <f t="shared" si="252"/>
        <v>12.96</v>
      </c>
      <c r="CU103" s="21">
        <f t="shared" si="253"/>
        <v>12.54</v>
      </c>
      <c r="CV103" s="21">
        <f t="shared" si="254"/>
        <v>12.96</v>
      </c>
      <c r="CW103" s="21">
        <f t="shared" si="255"/>
        <v>12.96</v>
      </c>
      <c r="CX103" s="21">
        <f t="shared" si="256"/>
        <v>12.54</v>
      </c>
      <c r="CY103" s="21">
        <f t="shared" si="257"/>
        <v>12.96</v>
      </c>
      <c r="CZ103" s="21">
        <f t="shared" si="258"/>
        <v>12.54</v>
      </c>
      <c r="DA103" s="21">
        <f t="shared" si="259"/>
        <v>12.96</v>
      </c>
      <c r="DB103" s="26">
        <f t="shared" si="260"/>
        <v>152.58000000000001</v>
      </c>
      <c r="DC103" s="26">
        <f t="shared" si="261"/>
        <v>469.03</v>
      </c>
      <c r="DD103" s="21">
        <f t="shared" si="262"/>
        <v>12.96</v>
      </c>
      <c r="DE103" s="21">
        <f t="shared" si="268"/>
        <v>11.7</v>
      </c>
      <c r="DF103" s="21">
        <f t="shared" si="269"/>
        <v>12.96</v>
      </c>
      <c r="DG103" s="21">
        <f t="shared" si="270"/>
        <v>12.54</v>
      </c>
      <c r="DH103" s="21">
        <f t="shared" si="263"/>
        <v>12.96</v>
      </c>
      <c r="DI103" s="21">
        <f t="shared" si="264"/>
        <v>12.54</v>
      </c>
      <c r="DJ103" s="26"/>
      <c r="DK103" s="26"/>
      <c r="DL103" s="26"/>
      <c r="DM103" s="26"/>
      <c r="DN103" s="26"/>
      <c r="DO103" s="26"/>
      <c r="DP103" s="26">
        <f t="shared" si="265"/>
        <v>75.66</v>
      </c>
      <c r="DQ103" s="21">
        <f t="shared" si="266"/>
        <v>544.69000000000005</v>
      </c>
      <c r="DR103" s="21">
        <f t="shared" si="267"/>
        <v>302.80999999999995</v>
      </c>
    </row>
    <row r="104" spans="2:122" ht="16.5">
      <c r="B104" s="35">
        <v>41978</v>
      </c>
      <c r="C104" s="36" t="s">
        <v>266</v>
      </c>
      <c r="D104" s="36" t="s">
        <v>285</v>
      </c>
      <c r="E104" s="35" t="s">
        <v>286</v>
      </c>
      <c r="F104" s="47" t="s">
        <v>287</v>
      </c>
      <c r="G104" s="21">
        <v>847.5</v>
      </c>
      <c r="H104" s="21">
        <f t="shared" si="198"/>
        <v>84.75</v>
      </c>
      <c r="I104" s="21">
        <f t="shared" si="199"/>
        <v>762.75</v>
      </c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21"/>
      <c r="AZ104" s="48"/>
      <c r="BA104" s="48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>
        <f t="shared" si="272"/>
        <v>10.87</v>
      </c>
      <c r="BL104" s="21">
        <f t="shared" si="218"/>
        <v>10.87</v>
      </c>
      <c r="BM104" s="21">
        <f t="shared" si="219"/>
        <v>10.87</v>
      </c>
      <c r="BN104" s="21">
        <f t="shared" si="220"/>
        <v>12.96</v>
      </c>
      <c r="BO104" s="21">
        <f t="shared" si="221"/>
        <v>11.7</v>
      </c>
      <c r="BP104" s="21">
        <f t="shared" si="222"/>
        <v>12.96</v>
      </c>
      <c r="BQ104" s="21">
        <f t="shared" si="223"/>
        <v>12.54</v>
      </c>
      <c r="BR104" s="21">
        <f t="shared" si="224"/>
        <v>12.96</v>
      </c>
      <c r="BS104" s="21">
        <f t="shared" si="225"/>
        <v>12.54</v>
      </c>
      <c r="BT104" s="21">
        <f t="shared" si="226"/>
        <v>12.96</v>
      </c>
      <c r="BU104" s="21">
        <f t="shared" si="227"/>
        <v>12.96</v>
      </c>
      <c r="BV104" s="21">
        <f t="shared" si="228"/>
        <v>12.54</v>
      </c>
      <c r="BW104" s="21">
        <f t="shared" si="229"/>
        <v>12.96</v>
      </c>
      <c r="BX104" s="21">
        <f t="shared" si="230"/>
        <v>12.54</v>
      </c>
      <c r="BY104" s="21">
        <f t="shared" si="231"/>
        <v>12.96</v>
      </c>
      <c r="BZ104" s="21">
        <f t="shared" si="232"/>
        <v>152.58000000000001</v>
      </c>
      <c r="CA104" s="21">
        <f t="shared" si="233"/>
        <v>163.44999999999999</v>
      </c>
      <c r="CB104" s="21">
        <f t="shared" si="234"/>
        <v>12.96</v>
      </c>
      <c r="CC104" s="21">
        <f t="shared" si="235"/>
        <v>12.12</v>
      </c>
      <c r="CD104" s="21">
        <f t="shared" si="236"/>
        <v>12.96</v>
      </c>
      <c r="CE104" s="21">
        <f t="shared" si="237"/>
        <v>12.54</v>
      </c>
      <c r="CF104" s="21">
        <f t="shared" si="238"/>
        <v>12.96</v>
      </c>
      <c r="CG104" s="21">
        <f t="shared" si="239"/>
        <v>12.54</v>
      </c>
      <c r="CH104" s="21">
        <f t="shared" si="240"/>
        <v>12.96</v>
      </c>
      <c r="CI104" s="21">
        <f t="shared" si="241"/>
        <v>12.96</v>
      </c>
      <c r="CJ104" s="21">
        <f t="shared" si="242"/>
        <v>12.54</v>
      </c>
      <c r="CK104" s="21">
        <f t="shared" si="243"/>
        <v>12.96</v>
      </c>
      <c r="CL104" s="21">
        <f t="shared" si="244"/>
        <v>12.54</v>
      </c>
      <c r="CM104" s="21">
        <f t="shared" si="245"/>
        <v>12.96</v>
      </c>
      <c r="CN104" s="21">
        <f t="shared" si="246"/>
        <v>153</v>
      </c>
      <c r="CO104" s="26">
        <f t="shared" si="247"/>
        <v>316.45</v>
      </c>
      <c r="CP104" s="21">
        <f t="shared" si="248"/>
        <v>12.96</v>
      </c>
      <c r="CQ104" s="21">
        <f t="shared" si="249"/>
        <v>11.7</v>
      </c>
      <c r="CR104" s="21">
        <f t="shared" si="250"/>
        <v>12.96</v>
      </c>
      <c r="CS104" s="21">
        <f t="shared" si="251"/>
        <v>12.54</v>
      </c>
      <c r="CT104" s="27">
        <f t="shared" si="252"/>
        <v>12.96</v>
      </c>
      <c r="CU104" s="21">
        <f t="shared" si="253"/>
        <v>12.54</v>
      </c>
      <c r="CV104" s="21">
        <f t="shared" si="254"/>
        <v>12.96</v>
      </c>
      <c r="CW104" s="21">
        <f t="shared" si="255"/>
        <v>12.96</v>
      </c>
      <c r="CX104" s="21">
        <f t="shared" si="256"/>
        <v>12.54</v>
      </c>
      <c r="CY104" s="21">
        <f t="shared" si="257"/>
        <v>12.96</v>
      </c>
      <c r="CZ104" s="21">
        <f t="shared" si="258"/>
        <v>12.54</v>
      </c>
      <c r="DA104" s="21">
        <f t="shared" si="259"/>
        <v>12.96</v>
      </c>
      <c r="DB104" s="26">
        <f t="shared" si="260"/>
        <v>152.58000000000001</v>
      </c>
      <c r="DC104" s="26">
        <f t="shared" si="261"/>
        <v>469.03</v>
      </c>
      <c r="DD104" s="21">
        <f t="shared" si="262"/>
        <v>12.96</v>
      </c>
      <c r="DE104" s="21">
        <f t="shared" si="268"/>
        <v>11.7</v>
      </c>
      <c r="DF104" s="21">
        <f t="shared" si="269"/>
        <v>12.96</v>
      </c>
      <c r="DG104" s="21">
        <f t="shared" si="270"/>
        <v>12.54</v>
      </c>
      <c r="DH104" s="21">
        <f t="shared" si="263"/>
        <v>12.96</v>
      </c>
      <c r="DI104" s="21">
        <f t="shared" si="264"/>
        <v>12.54</v>
      </c>
      <c r="DJ104" s="26"/>
      <c r="DK104" s="26"/>
      <c r="DL104" s="26"/>
      <c r="DM104" s="26"/>
      <c r="DN104" s="26"/>
      <c r="DO104" s="26"/>
      <c r="DP104" s="26">
        <f t="shared" si="265"/>
        <v>75.66</v>
      </c>
      <c r="DQ104" s="21">
        <f t="shared" si="266"/>
        <v>544.69000000000005</v>
      </c>
      <c r="DR104" s="21">
        <f t="shared" si="267"/>
        <v>302.80999999999995</v>
      </c>
    </row>
    <row r="105" spans="2:122" ht="16.5">
      <c r="B105" s="35">
        <v>41978</v>
      </c>
      <c r="C105" s="36" t="s">
        <v>266</v>
      </c>
      <c r="D105" s="36" t="s">
        <v>288</v>
      </c>
      <c r="E105" s="35" t="s">
        <v>289</v>
      </c>
      <c r="F105" s="47" t="s">
        <v>290</v>
      </c>
      <c r="G105" s="21">
        <v>847.5</v>
      </c>
      <c r="H105" s="21">
        <f t="shared" si="198"/>
        <v>84.75</v>
      </c>
      <c r="I105" s="21">
        <f t="shared" si="199"/>
        <v>762.75</v>
      </c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21"/>
      <c r="AZ105" s="48"/>
      <c r="BA105" s="48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>
        <f t="shared" si="272"/>
        <v>10.87</v>
      </c>
      <c r="BL105" s="21">
        <f t="shared" si="218"/>
        <v>10.87</v>
      </c>
      <c r="BM105" s="21">
        <f t="shared" si="219"/>
        <v>10.87</v>
      </c>
      <c r="BN105" s="21">
        <f t="shared" si="220"/>
        <v>12.96</v>
      </c>
      <c r="BO105" s="21">
        <f t="shared" si="221"/>
        <v>11.7</v>
      </c>
      <c r="BP105" s="21">
        <f t="shared" si="222"/>
        <v>12.96</v>
      </c>
      <c r="BQ105" s="21">
        <f t="shared" si="223"/>
        <v>12.54</v>
      </c>
      <c r="BR105" s="21">
        <f t="shared" si="224"/>
        <v>12.96</v>
      </c>
      <c r="BS105" s="21">
        <f t="shared" si="225"/>
        <v>12.54</v>
      </c>
      <c r="BT105" s="21">
        <f t="shared" si="226"/>
        <v>12.96</v>
      </c>
      <c r="BU105" s="21">
        <f t="shared" si="227"/>
        <v>12.96</v>
      </c>
      <c r="BV105" s="21">
        <f t="shared" si="228"/>
        <v>12.54</v>
      </c>
      <c r="BW105" s="21">
        <f t="shared" si="229"/>
        <v>12.96</v>
      </c>
      <c r="BX105" s="21">
        <f t="shared" si="230"/>
        <v>12.54</v>
      </c>
      <c r="BY105" s="21">
        <f t="shared" si="231"/>
        <v>12.96</v>
      </c>
      <c r="BZ105" s="21">
        <f t="shared" si="232"/>
        <v>152.58000000000001</v>
      </c>
      <c r="CA105" s="21">
        <f t="shared" si="233"/>
        <v>163.44999999999999</v>
      </c>
      <c r="CB105" s="21">
        <f t="shared" si="234"/>
        <v>12.96</v>
      </c>
      <c r="CC105" s="21">
        <f t="shared" si="235"/>
        <v>12.12</v>
      </c>
      <c r="CD105" s="21">
        <f t="shared" si="236"/>
        <v>12.96</v>
      </c>
      <c r="CE105" s="21">
        <f t="shared" si="237"/>
        <v>12.54</v>
      </c>
      <c r="CF105" s="21">
        <f t="shared" si="238"/>
        <v>12.96</v>
      </c>
      <c r="CG105" s="21">
        <f t="shared" si="239"/>
        <v>12.54</v>
      </c>
      <c r="CH105" s="21">
        <f t="shared" si="240"/>
        <v>12.96</v>
      </c>
      <c r="CI105" s="21">
        <f t="shared" si="241"/>
        <v>12.96</v>
      </c>
      <c r="CJ105" s="21">
        <f t="shared" si="242"/>
        <v>12.54</v>
      </c>
      <c r="CK105" s="21">
        <f t="shared" si="243"/>
        <v>12.96</v>
      </c>
      <c r="CL105" s="21">
        <f t="shared" si="244"/>
        <v>12.54</v>
      </c>
      <c r="CM105" s="21">
        <f t="shared" si="245"/>
        <v>12.96</v>
      </c>
      <c r="CN105" s="21">
        <f t="shared" si="246"/>
        <v>153</v>
      </c>
      <c r="CO105" s="26">
        <f t="shared" si="247"/>
        <v>316.45</v>
      </c>
      <c r="CP105" s="21">
        <f t="shared" si="248"/>
        <v>12.96</v>
      </c>
      <c r="CQ105" s="21">
        <f t="shared" si="249"/>
        <v>11.7</v>
      </c>
      <c r="CR105" s="21">
        <f t="shared" si="250"/>
        <v>12.96</v>
      </c>
      <c r="CS105" s="21">
        <f t="shared" si="251"/>
        <v>12.54</v>
      </c>
      <c r="CT105" s="27">
        <f t="shared" si="252"/>
        <v>12.96</v>
      </c>
      <c r="CU105" s="21">
        <f t="shared" si="253"/>
        <v>12.54</v>
      </c>
      <c r="CV105" s="21">
        <f t="shared" si="254"/>
        <v>12.96</v>
      </c>
      <c r="CW105" s="21">
        <f t="shared" si="255"/>
        <v>12.96</v>
      </c>
      <c r="CX105" s="21">
        <f t="shared" si="256"/>
        <v>12.54</v>
      </c>
      <c r="CY105" s="21">
        <f t="shared" si="257"/>
        <v>12.96</v>
      </c>
      <c r="CZ105" s="21">
        <f t="shared" si="258"/>
        <v>12.54</v>
      </c>
      <c r="DA105" s="21">
        <f t="shared" si="259"/>
        <v>12.96</v>
      </c>
      <c r="DB105" s="26">
        <f t="shared" si="260"/>
        <v>152.58000000000001</v>
      </c>
      <c r="DC105" s="26">
        <f t="shared" si="261"/>
        <v>469.03</v>
      </c>
      <c r="DD105" s="21">
        <f t="shared" si="262"/>
        <v>12.96</v>
      </c>
      <c r="DE105" s="21">
        <f t="shared" si="268"/>
        <v>11.7</v>
      </c>
      <c r="DF105" s="21">
        <f t="shared" si="269"/>
        <v>12.96</v>
      </c>
      <c r="DG105" s="21">
        <f t="shared" si="270"/>
        <v>12.54</v>
      </c>
      <c r="DH105" s="21">
        <f t="shared" si="263"/>
        <v>12.96</v>
      </c>
      <c r="DI105" s="21">
        <f t="shared" si="264"/>
        <v>12.54</v>
      </c>
      <c r="DJ105" s="26"/>
      <c r="DK105" s="26"/>
      <c r="DL105" s="26"/>
      <c r="DM105" s="26"/>
      <c r="DN105" s="26"/>
      <c r="DO105" s="26"/>
      <c r="DP105" s="26">
        <f t="shared" si="265"/>
        <v>75.66</v>
      </c>
      <c r="DQ105" s="21">
        <f t="shared" si="266"/>
        <v>544.69000000000005</v>
      </c>
      <c r="DR105" s="21">
        <f t="shared" si="267"/>
        <v>302.80999999999995</v>
      </c>
    </row>
    <row r="106" spans="2:122" ht="16.5">
      <c r="B106" s="35">
        <v>41978</v>
      </c>
      <c r="C106" s="36" t="s">
        <v>266</v>
      </c>
      <c r="D106" s="36" t="s">
        <v>291</v>
      </c>
      <c r="E106" s="35" t="s">
        <v>145</v>
      </c>
      <c r="F106" s="47" t="s">
        <v>292</v>
      </c>
      <c r="G106" s="21">
        <v>847.5</v>
      </c>
      <c r="H106" s="21">
        <f t="shared" si="198"/>
        <v>84.75</v>
      </c>
      <c r="I106" s="21">
        <f t="shared" si="199"/>
        <v>762.75</v>
      </c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21"/>
      <c r="AZ106" s="48"/>
      <c r="BA106" s="48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>
        <f t="shared" si="272"/>
        <v>10.87</v>
      </c>
      <c r="BL106" s="21">
        <f t="shared" si="218"/>
        <v>10.87</v>
      </c>
      <c r="BM106" s="21">
        <f t="shared" si="219"/>
        <v>10.87</v>
      </c>
      <c r="BN106" s="21">
        <f t="shared" si="220"/>
        <v>12.96</v>
      </c>
      <c r="BO106" s="21">
        <f t="shared" si="221"/>
        <v>11.7</v>
      </c>
      <c r="BP106" s="21">
        <f t="shared" si="222"/>
        <v>12.96</v>
      </c>
      <c r="BQ106" s="21">
        <f t="shared" si="223"/>
        <v>12.54</v>
      </c>
      <c r="BR106" s="21">
        <f t="shared" si="224"/>
        <v>12.96</v>
      </c>
      <c r="BS106" s="21">
        <f t="shared" si="225"/>
        <v>12.54</v>
      </c>
      <c r="BT106" s="21">
        <f t="shared" si="226"/>
        <v>12.96</v>
      </c>
      <c r="BU106" s="21">
        <f t="shared" si="227"/>
        <v>12.96</v>
      </c>
      <c r="BV106" s="21">
        <f t="shared" si="228"/>
        <v>12.54</v>
      </c>
      <c r="BW106" s="21">
        <f t="shared" si="229"/>
        <v>12.96</v>
      </c>
      <c r="BX106" s="21">
        <f t="shared" si="230"/>
        <v>12.54</v>
      </c>
      <c r="BY106" s="21">
        <f t="shared" si="231"/>
        <v>12.96</v>
      </c>
      <c r="BZ106" s="21">
        <f t="shared" si="232"/>
        <v>152.58000000000001</v>
      </c>
      <c r="CA106" s="21">
        <f t="shared" si="233"/>
        <v>163.44999999999999</v>
      </c>
      <c r="CB106" s="21">
        <f t="shared" si="234"/>
        <v>12.96</v>
      </c>
      <c r="CC106" s="21">
        <f t="shared" si="235"/>
        <v>12.12</v>
      </c>
      <c r="CD106" s="21">
        <f t="shared" si="236"/>
        <v>12.96</v>
      </c>
      <c r="CE106" s="21">
        <f t="shared" si="237"/>
        <v>12.54</v>
      </c>
      <c r="CF106" s="21">
        <f t="shared" si="238"/>
        <v>12.96</v>
      </c>
      <c r="CG106" s="21">
        <f t="shared" si="239"/>
        <v>12.54</v>
      </c>
      <c r="CH106" s="21">
        <f t="shared" si="240"/>
        <v>12.96</v>
      </c>
      <c r="CI106" s="21">
        <f t="shared" si="241"/>
        <v>12.96</v>
      </c>
      <c r="CJ106" s="21">
        <f t="shared" si="242"/>
        <v>12.54</v>
      </c>
      <c r="CK106" s="21">
        <f t="shared" si="243"/>
        <v>12.96</v>
      </c>
      <c r="CL106" s="21">
        <f t="shared" si="244"/>
        <v>12.54</v>
      </c>
      <c r="CM106" s="21">
        <f t="shared" si="245"/>
        <v>12.96</v>
      </c>
      <c r="CN106" s="21">
        <f t="shared" si="246"/>
        <v>153</v>
      </c>
      <c r="CO106" s="26">
        <f t="shared" si="247"/>
        <v>316.45</v>
      </c>
      <c r="CP106" s="21">
        <f t="shared" si="248"/>
        <v>12.96</v>
      </c>
      <c r="CQ106" s="21">
        <f t="shared" si="249"/>
        <v>11.7</v>
      </c>
      <c r="CR106" s="21">
        <f t="shared" si="250"/>
        <v>12.96</v>
      </c>
      <c r="CS106" s="21">
        <f t="shared" si="251"/>
        <v>12.54</v>
      </c>
      <c r="CT106" s="27">
        <f t="shared" si="252"/>
        <v>12.96</v>
      </c>
      <c r="CU106" s="21">
        <f t="shared" si="253"/>
        <v>12.54</v>
      </c>
      <c r="CV106" s="21">
        <f t="shared" si="254"/>
        <v>12.96</v>
      </c>
      <c r="CW106" s="21">
        <f t="shared" si="255"/>
        <v>12.96</v>
      </c>
      <c r="CX106" s="21">
        <f t="shared" si="256"/>
        <v>12.54</v>
      </c>
      <c r="CY106" s="21">
        <f t="shared" si="257"/>
        <v>12.96</v>
      </c>
      <c r="CZ106" s="21">
        <f t="shared" si="258"/>
        <v>12.54</v>
      </c>
      <c r="DA106" s="21">
        <f t="shared" si="259"/>
        <v>12.96</v>
      </c>
      <c r="DB106" s="26">
        <f t="shared" si="260"/>
        <v>152.58000000000001</v>
      </c>
      <c r="DC106" s="26">
        <f t="shared" si="261"/>
        <v>469.03</v>
      </c>
      <c r="DD106" s="21">
        <f t="shared" si="262"/>
        <v>12.96</v>
      </c>
      <c r="DE106" s="21">
        <f t="shared" si="268"/>
        <v>11.7</v>
      </c>
      <c r="DF106" s="21">
        <f t="shared" si="269"/>
        <v>12.96</v>
      </c>
      <c r="DG106" s="21">
        <f t="shared" si="270"/>
        <v>12.54</v>
      </c>
      <c r="DH106" s="21">
        <f t="shared" si="263"/>
        <v>12.96</v>
      </c>
      <c r="DI106" s="21">
        <f t="shared" si="264"/>
        <v>12.54</v>
      </c>
      <c r="DJ106" s="26"/>
      <c r="DK106" s="26"/>
      <c r="DL106" s="26"/>
      <c r="DM106" s="26"/>
      <c r="DN106" s="26"/>
      <c r="DO106" s="26"/>
      <c r="DP106" s="26">
        <f t="shared" si="265"/>
        <v>75.66</v>
      </c>
      <c r="DQ106" s="21">
        <f t="shared" si="266"/>
        <v>544.69000000000005</v>
      </c>
      <c r="DR106" s="21">
        <f t="shared" si="267"/>
        <v>302.80999999999995</v>
      </c>
    </row>
    <row r="107" spans="2:122" ht="16.5">
      <c r="B107" s="35">
        <v>41978</v>
      </c>
      <c r="C107" s="36" t="s">
        <v>266</v>
      </c>
      <c r="D107" s="36" t="s">
        <v>293</v>
      </c>
      <c r="E107" s="35" t="s">
        <v>294</v>
      </c>
      <c r="F107" s="47" t="s">
        <v>295</v>
      </c>
      <c r="G107" s="21">
        <v>847.5</v>
      </c>
      <c r="H107" s="21">
        <f t="shared" si="198"/>
        <v>84.75</v>
      </c>
      <c r="I107" s="21">
        <f t="shared" si="199"/>
        <v>762.75</v>
      </c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21"/>
      <c r="AZ107" s="48"/>
      <c r="BA107" s="48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>
        <f t="shared" si="272"/>
        <v>10.87</v>
      </c>
      <c r="BL107" s="21">
        <f t="shared" si="218"/>
        <v>10.87</v>
      </c>
      <c r="BM107" s="21">
        <f t="shared" si="219"/>
        <v>10.87</v>
      </c>
      <c r="BN107" s="21">
        <f t="shared" si="220"/>
        <v>12.96</v>
      </c>
      <c r="BO107" s="21">
        <f t="shared" si="221"/>
        <v>11.7</v>
      </c>
      <c r="BP107" s="21">
        <f t="shared" si="222"/>
        <v>12.96</v>
      </c>
      <c r="BQ107" s="21">
        <f t="shared" si="223"/>
        <v>12.54</v>
      </c>
      <c r="BR107" s="21">
        <f t="shared" si="224"/>
        <v>12.96</v>
      </c>
      <c r="BS107" s="21">
        <f t="shared" si="225"/>
        <v>12.54</v>
      </c>
      <c r="BT107" s="21">
        <f t="shared" si="226"/>
        <v>12.96</v>
      </c>
      <c r="BU107" s="21">
        <f t="shared" si="227"/>
        <v>12.96</v>
      </c>
      <c r="BV107" s="21">
        <f t="shared" si="228"/>
        <v>12.54</v>
      </c>
      <c r="BW107" s="21">
        <f t="shared" si="229"/>
        <v>12.96</v>
      </c>
      <c r="BX107" s="21">
        <f t="shared" si="230"/>
        <v>12.54</v>
      </c>
      <c r="BY107" s="21">
        <f t="shared" si="231"/>
        <v>12.96</v>
      </c>
      <c r="BZ107" s="21">
        <f t="shared" si="232"/>
        <v>152.58000000000001</v>
      </c>
      <c r="CA107" s="21">
        <f t="shared" si="233"/>
        <v>163.44999999999999</v>
      </c>
      <c r="CB107" s="21">
        <f t="shared" si="234"/>
        <v>12.96</v>
      </c>
      <c r="CC107" s="21">
        <f t="shared" si="235"/>
        <v>12.12</v>
      </c>
      <c r="CD107" s="21">
        <f t="shared" si="236"/>
        <v>12.96</v>
      </c>
      <c r="CE107" s="21">
        <f t="shared" si="237"/>
        <v>12.54</v>
      </c>
      <c r="CF107" s="21">
        <f t="shared" si="238"/>
        <v>12.96</v>
      </c>
      <c r="CG107" s="21">
        <f t="shared" si="239"/>
        <v>12.54</v>
      </c>
      <c r="CH107" s="21">
        <f t="shared" si="240"/>
        <v>12.96</v>
      </c>
      <c r="CI107" s="21">
        <f t="shared" si="241"/>
        <v>12.96</v>
      </c>
      <c r="CJ107" s="21">
        <f t="shared" si="242"/>
        <v>12.54</v>
      </c>
      <c r="CK107" s="21">
        <f t="shared" si="243"/>
        <v>12.96</v>
      </c>
      <c r="CL107" s="21">
        <f t="shared" si="244"/>
        <v>12.54</v>
      </c>
      <c r="CM107" s="21">
        <f t="shared" si="245"/>
        <v>12.96</v>
      </c>
      <c r="CN107" s="21">
        <f t="shared" si="246"/>
        <v>153</v>
      </c>
      <c r="CO107" s="26">
        <f t="shared" si="247"/>
        <v>316.45</v>
      </c>
      <c r="CP107" s="21">
        <f t="shared" si="248"/>
        <v>12.96</v>
      </c>
      <c r="CQ107" s="21">
        <f t="shared" si="249"/>
        <v>11.7</v>
      </c>
      <c r="CR107" s="21">
        <f t="shared" si="250"/>
        <v>12.96</v>
      </c>
      <c r="CS107" s="21">
        <f t="shared" si="251"/>
        <v>12.54</v>
      </c>
      <c r="CT107" s="27">
        <f t="shared" si="252"/>
        <v>12.96</v>
      </c>
      <c r="CU107" s="21">
        <f t="shared" si="253"/>
        <v>12.54</v>
      </c>
      <c r="CV107" s="21">
        <f t="shared" si="254"/>
        <v>12.96</v>
      </c>
      <c r="CW107" s="21">
        <f t="shared" si="255"/>
        <v>12.96</v>
      </c>
      <c r="CX107" s="21">
        <f t="shared" si="256"/>
        <v>12.54</v>
      </c>
      <c r="CY107" s="21">
        <f t="shared" si="257"/>
        <v>12.96</v>
      </c>
      <c r="CZ107" s="21">
        <f t="shared" si="258"/>
        <v>12.54</v>
      </c>
      <c r="DA107" s="21">
        <f t="shared" si="259"/>
        <v>12.96</v>
      </c>
      <c r="DB107" s="26">
        <f t="shared" si="260"/>
        <v>152.58000000000001</v>
      </c>
      <c r="DC107" s="26">
        <f t="shared" si="261"/>
        <v>469.03</v>
      </c>
      <c r="DD107" s="21">
        <f t="shared" si="262"/>
        <v>12.96</v>
      </c>
      <c r="DE107" s="21">
        <f t="shared" si="268"/>
        <v>11.7</v>
      </c>
      <c r="DF107" s="21">
        <f t="shared" si="269"/>
        <v>12.96</v>
      </c>
      <c r="DG107" s="21">
        <f t="shared" si="270"/>
        <v>12.54</v>
      </c>
      <c r="DH107" s="21">
        <f t="shared" si="263"/>
        <v>12.96</v>
      </c>
      <c r="DI107" s="21">
        <f t="shared" si="264"/>
        <v>12.54</v>
      </c>
      <c r="DJ107" s="26"/>
      <c r="DK107" s="26"/>
      <c r="DL107" s="26"/>
      <c r="DM107" s="26"/>
      <c r="DN107" s="26"/>
      <c r="DO107" s="26"/>
      <c r="DP107" s="26">
        <f t="shared" si="265"/>
        <v>75.66</v>
      </c>
      <c r="DQ107" s="21">
        <f t="shared" si="266"/>
        <v>544.69000000000005</v>
      </c>
      <c r="DR107" s="21">
        <f t="shared" si="267"/>
        <v>302.80999999999995</v>
      </c>
    </row>
    <row r="108" spans="2:122" ht="16.5">
      <c r="B108" s="35">
        <v>41978</v>
      </c>
      <c r="C108" s="36" t="s">
        <v>266</v>
      </c>
      <c r="D108" s="36" t="s">
        <v>296</v>
      </c>
      <c r="E108" s="35" t="s">
        <v>139</v>
      </c>
      <c r="F108" s="47" t="s">
        <v>297</v>
      </c>
      <c r="G108" s="21">
        <v>847.5</v>
      </c>
      <c r="H108" s="21">
        <f t="shared" si="198"/>
        <v>84.75</v>
      </c>
      <c r="I108" s="21">
        <f t="shared" si="199"/>
        <v>762.75</v>
      </c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21"/>
      <c r="AZ108" s="48"/>
      <c r="BA108" s="48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>
        <f t="shared" si="272"/>
        <v>10.87</v>
      </c>
      <c r="BL108" s="21">
        <f t="shared" si="218"/>
        <v>10.87</v>
      </c>
      <c r="BM108" s="21">
        <f t="shared" si="219"/>
        <v>10.87</v>
      </c>
      <c r="BN108" s="21">
        <f t="shared" si="220"/>
        <v>12.96</v>
      </c>
      <c r="BO108" s="21">
        <f t="shared" si="221"/>
        <v>11.7</v>
      </c>
      <c r="BP108" s="21">
        <f t="shared" si="222"/>
        <v>12.96</v>
      </c>
      <c r="BQ108" s="21">
        <f t="shared" si="223"/>
        <v>12.54</v>
      </c>
      <c r="BR108" s="21">
        <f t="shared" si="224"/>
        <v>12.96</v>
      </c>
      <c r="BS108" s="21">
        <f t="shared" si="225"/>
        <v>12.54</v>
      </c>
      <c r="BT108" s="21">
        <f t="shared" si="226"/>
        <v>12.96</v>
      </c>
      <c r="BU108" s="21">
        <f t="shared" si="227"/>
        <v>12.96</v>
      </c>
      <c r="BV108" s="21">
        <f t="shared" si="228"/>
        <v>12.54</v>
      </c>
      <c r="BW108" s="21">
        <f t="shared" si="229"/>
        <v>12.96</v>
      </c>
      <c r="BX108" s="21">
        <f t="shared" si="230"/>
        <v>12.54</v>
      </c>
      <c r="BY108" s="21">
        <f t="shared" si="231"/>
        <v>12.96</v>
      </c>
      <c r="BZ108" s="21">
        <f t="shared" si="232"/>
        <v>152.58000000000001</v>
      </c>
      <c r="CA108" s="21">
        <f t="shared" si="233"/>
        <v>163.44999999999999</v>
      </c>
      <c r="CB108" s="21">
        <f t="shared" si="234"/>
        <v>12.96</v>
      </c>
      <c r="CC108" s="21">
        <f t="shared" si="235"/>
        <v>12.12</v>
      </c>
      <c r="CD108" s="21">
        <f t="shared" si="236"/>
        <v>12.96</v>
      </c>
      <c r="CE108" s="21">
        <f t="shared" si="237"/>
        <v>12.54</v>
      </c>
      <c r="CF108" s="21">
        <f t="shared" si="238"/>
        <v>12.96</v>
      </c>
      <c r="CG108" s="21">
        <f t="shared" si="239"/>
        <v>12.54</v>
      </c>
      <c r="CH108" s="21">
        <f t="shared" si="240"/>
        <v>12.96</v>
      </c>
      <c r="CI108" s="21">
        <f t="shared" si="241"/>
        <v>12.96</v>
      </c>
      <c r="CJ108" s="21">
        <f t="shared" si="242"/>
        <v>12.54</v>
      </c>
      <c r="CK108" s="21">
        <f t="shared" si="243"/>
        <v>12.96</v>
      </c>
      <c r="CL108" s="21">
        <f t="shared" si="244"/>
        <v>12.54</v>
      </c>
      <c r="CM108" s="21">
        <f t="shared" si="245"/>
        <v>12.96</v>
      </c>
      <c r="CN108" s="21">
        <f t="shared" si="246"/>
        <v>153</v>
      </c>
      <c r="CO108" s="26">
        <f t="shared" si="247"/>
        <v>316.45</v>
      </c>
      <c r="CP108" s="21">
        <f t="shared" si="248"/>
        <v>12.96</v>
      </c>
      <c r="CQ108" s="21">
        <f t="shared" si="249"/>
        <v>11.7</v>
      </c>
      <c r="CR108" s="21">
        <f t="shared" si="250"/>
        <v>12.96</v>
      </c>
      <c r="CS108" s="21">
        <f t="shared" si="251"/>
        <v>12.54</v>
      </c>
      <c r="CT108" s="27">
        <f t="shared" si="252"/>
        <v>12.96</v>
      </c>
      <c r="CU108" s="21">
        <f t="shared" si="253"/>
        <v>12.54</v>
      </c>
      <c r="CV108" s="21">
        <f t="shared" si="254"/>
        <v>12.96</v>
      </c>
      <c r="CW108" s="21">
        <f t="shared" si="255"/>
        <v>12.96</v>
      </c>
      <c r="CX108" s="21">
        <f t="shared" si="256"/>
        <v>12.54</v>
      </c>
      <c r="CY108" s="21">
        <f t="shared" si="257"/>
        <v>12.96</v>
      </c>
      <c r="CZ108" s="21">
        <f t="shared" si="258"/>
        <v>12.54</v>
      </c>
      <c r="DA108" s="21">
        <f t="shared" si="259"/>
        <v>12.96</v>
      </c>
      <c r="DB108" s="26">
        <f t="shared" si="260"/>
        <v>152.58000000000001</v>
      </c>
      <c r="DC108" s="26">
        <f t="shared" si="261"/>
        <v>469.03</v>
      </c>
      <c r="DD108" s="21">
        <f t="shared" si="262"/>
        <v>12.96</v>
      </c>
      <c r="DE108" s="21">
        <f t="shared" si="268"/>
        <v>11.7</v>
      </c>
      <c r="DF108" s="21">
        <f t="shared" si="269"/>
        <v>12.96</v>
      </c>
      <c r="DG108" s="21">
        <f t="shared" si="270"/>
        <v>12.54</v>
      </c>
      <c r="DH108" s="21">
        <f t="shared" si="263"/>
        <v>12.96</v>
      </c>
      <c r="DI108" s="21">
        <f t="shared" si="264"/>
        <v>12.54</v>
      </c>
      <c r="DJ108" s="26"/>
      <c r="DK108" s="26"/>
      <c r="DL108" s="26"/>
      <c r="DM108" s="26"/>
      <c r="DN108" s="26"/>
      <c r="DO108" s="26"/>
      <c r="DP108" s="26">
        <f t="shared" si="265"/>
        <v>75.66</v>
      </c>
      <c r="DQ108" s="21">
        <f t="shared" si="266"/>
        <v>544.69000000000005</v>
      </c>
      <c r="DR108" s="21">
        <f t="shared" si="267"/>
        <v>302.80999999999995</v>
      </c>
    </row>
    <row r="109" spans="2:122" ht="16.5">
      <c r="B109" s="35">
        <v>42031</v>
      </c>
      <c r="C109" s="36" t="s">
        <v>298</v>
      </c>
      <c r="D109" s="36" t="s">
        <v>299</v>
      </c>
      <c r="E109" s="35" t="s">
        <v>121</v>
      </c>
      <c r="F109" s="47" t="s">
        <v>300</v>
      </c>
      <c r="G109" s="21">
        <v>11200</v>
      </c>
      <c r="H109" s="21">
        <f t="shared" si="198"/>
        <v>1120</v>
      </c>
      <c r="I109" s="21">
        <f t="shared" si="199"/>
        <v>10080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21"/>
      <c r="AZ109" s="48"/>
      <c r="BA109" s="48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>
        <v>0</v>
      </c>
      <c r="BL109" s="21">
        <v>0</v>
      </c>
      <c r="BM109" s="21">
        <f t="shared" si="219"/>
        <v>0</v>
      </c>
      <c r="BN109" s="21">
        <f>ROUND((I109/5/365*4),2)</f>
        <v>22.09</v>
      </c>
      <c r="BO109" s="21">
        <f t="shared" si="221"/>
        <v>154.65</v>
      </c>
      <c r="BP109" s="21">
        <f t="shared" si="222"/>
        <v>171.22</v>
      </c>
      <c r="BQ109" s="21">
        <f t="shared" si="223"/>
        <v>165.7</v>
      </c>
      <c r="BR109" s="21">
        <f t="shared" si="224"/>
        <v>171.22</v>
      </c>
      <c r="BS109" s="21">
        <f t="shared" si="225"/>
        <v>165.7</v>
      </c>
      <c r="BT109" s="21">
        <f t="shared" si="226"/>
        <v>171.22</v>
      </c>
      <c r="BU109" s="21">
        <f t="shared" si="227"/>
        <v>171.22</v>
      </c>
      <c r="BV109" s="21">
        <f t="shared" si="228"/>
        <v>165.7</v>
      </c>
      <c r="BW109" s="21">
        <f t="shared" si="229"/>
        <v>171.22</v>
      </c>
      <c r="BX109" s="21">
        <f t="shared" si="230"/>
        <v>165.7</v>
      </c>
      <c r="BY109" s="21">
        <f t="shared" si="231"/>
        <v>171.22</v>
      </c>
      <c r="BZ109" s="21">
        <f t="shared" si="232"/>
        <v>1866.8600000000004</v>
      </c>
      <c r="CA109" s="21">
        <f t="shared" si="233"/>
        <v>1866.86</v>
      </c>
      <c r="CB109" s="21">
        <f t="shared" si="234"/>
        <v>171.22</v>
      </c>
      <c r="CC109" s="21">
        <f t="shared" si="235"/>
        <v>160.18</v>
      </c>
      <c r="CD109" s="21">
        <f t="shared" si="236"/>
        <v>171.22</v>
      </c>
      <c r="CE109" s="21">
        <f t="shared" si="237"/>
        <v>165.7</v>
      </c>
      <c r="CF109" s="21">
        <f t="shared" si="238"/>
        <v>171.22</v>
      </c>
      <c r="CG109" s="21">
        <f t="shared" si="239"/>
        <v>165.7</v>
      </c>
      <c r="CH109" s="21">
        <f t="shared" si="240"/>
        <v>171.22</v>
      </c>
      <c r="CI109" s="21">
        <f t="shared" si="241"/>
        <v>171.22</v>
      </c>
      <c r="CJ109" s="21">
        <f t="shared" si="242"/>
        <v>165.7</v>
      </c>
      <c r="CK109" s="21">
        <f t="shared" si="243"/>
        <v>171.22</v>
      </c>
      <c r="CL109" s="21">
        <f t="shared" si="244"/>
        <v>165.7</v>
      </c>
      <c r="CM109" s="21">
        <f t="shared" si="245"/>
        <v>171.22</v>
      </c>
      <c r="CN109" s="21">
        <f t="shared" si="246"/>
        <v>2021.5200000000002</v>
      </c>
      <c r="CO109" s="26">
        <f t="shared" si="247"/>
        <v>3888.38</v>
      </c>
      <c r="CP109" s="21">
        <f t="shared" si="248"/>
        <v>171.22</v>
      </c>
      <c r="CQ109" s="21">
        <f t="shared" si="249"/>
        <v>154.65</v>
      </c>
      <c r="CR109" s="21">
        <f t="shared" si="250"/>
        <v>171.22</v>
      </c>
      <c r="CS109" s="21">
        <f t="shared" si="251"/>
        <v>165.7</v>
      </c>
      <c r="CT109" s="27">
        <f t="shared" si="252"/>
        <v>171.22</v>
      </c>
      <c r="CU109" s="21">
        <f t="shared" si="253"/>
        <v>165.7</v>
      </c>
      <c r="CV109" s="21">
        <f t="shared" si="254"/>
        <v>171.22</v>
      </c>
      <c r="CW109" s="21">
        <f t="shared" si="255"/>
        <v>171.22</v>
      </c>
      <c r="CX109" s="21">
        <f t="shared" si="256"/>
        <v>165.7</v>
      </c>
      <c r="CY109" s="21">
        <f t="shared" si="257"/>
        <v>171.22</v>
      </c>
      <c r="CZ109" s="21">
        <f t="shared" si="258"/>
        <v>165.7</v>
      </c>
      <c r="DA109" s="21">
        <f t="shared" si="259"/>
        <v>171.22</v>
      </c>
      <c r="DB109" s="26">
        <f t="shared" si="260"/>
        <v>2015.9900000000002</v>
      </c>
      <c r="DC109" s="26">
        <f t="shared" si="261"/>
        <v>5904.37</v>
      </c>
      <c r="DD109" s="21">
        <f t="shared" si="262"/>
        <v>171.22</v>
      </c>
      <c r="DE109" s="21">
        <f t="shared" si="268"/>
        <v>154.65</v>
      </c>
      <c r="DF109" s="21">
        <f t="shared" si="269"/>
        <v>171.22</v>
      </c>
      <c r="DG109" s="21">
        <f t="shared" si="270"/>
        <v>165.7</v>
      </c>
      <c r="DH109" s="21">
        <f t="shared" si="263"/>
        <v>171.22</v>
      </c>
      <c r="DI109" s="21">
        <f t="shared" si="264"/>
        <v>165.7</v>
      </c>
      <c r="DJ109" s="26"/>
      <c r="DK109" s="26"/>
      <c r="DL109" s="26"/>
      <c r="DM109" s="26"/>
      <c r="DN109" s="26"/>
      <c r="DO109" s="26"/>
      <c r="DP109" s="26">
        <f t="shared" si="265"/>
        <v>999.71</v>
      </c>
      <c r="DQ109" s="21">
        <f t="shared" si="266"/>
        <v>6904.08</v>
      </c>
      <c r="DR109" s="21">
        <f t="shared" si="267"/>
        <v>4295.92</v>
      </c>
    </row>
    <row r="110" spans="2:122" ht="8.25">
      <c r="B110" s="35">
        <v>42051</v>
      </c>
      <c r="C110" s="47" t="s">
        <v>301</v>
      </c>
      <c r="D110" s="36" t="s">
        <v>302</v>
      </c>
      <c r="E110" s="35" t="s">
        <v>303</v>
      </c>
      <c r="F110" s="36" t="s">
        <v>304</v>
      </c>
      <c r="G110" s="21">
        <v>12784</v>
      </c>
      <c r="H110" s="21">
        <f t="shared" si="198"/>
        <v>1278.4000000000001</v>
      </c>
      <c r="I110" s="21">
        <f t="shared" si="199"/>
        <v>11505.6</v>
      </c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21"/>
      <c r="AZ110" s="48"/>
      <c r="BA110" s="48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>
        <v>0</v>
      </c>
      <c r="BO110" s="21">
        <f>ROUND((I110/5/365*12),2)</f>
        <v>75.650000000000006</v>
      </c>
      <c r="BP110" s="21">
        <f t="shared" si="222"/>
        <v>195.44</v>
      </c>
      <c r="BQ110" s="21">
        <f t="shared" si="223"/>
        <v>189.13</v>
      </c>
      <c r="BR110" s="21">
        <f t="shared" si="224"/>
        <v>195.44</v>
      </c>
      <c r="BS110" s="21">
        <f t="shared" si="225"/>
        <v>189.13</v>
      </c>
      <c r="BT110" s="21">
        <f t="shared" si="226"/>
        <v>195.44</v>
      </c>
      <c r="BU110" s="21">
        <f t="shared" si="227"/>
        <v>195.44</v>
      </c>
      <c r="BV110" s="21">
        <f t="shared" si="228"/>
        <v>189.13</v>
      </c>
      <c r="BW110" s="21">
        <f t="shared" si="229"/>
        <v>195.44</v>
      </c>
      <c r="BX110" s="21">
        <f t="shared" si="230"/>
        <v>189.13</v>
      </c>
      <c r="BY110" s="21">
        <f t="shared" si="231"/>
        <v>195.44</v>
      </c>
      <c r="BZ110" s="21">
        <f t="shared" si="232"/>
        <v>2004.8100000000004</v>
      </c>
      <c r="CA110" s="21">
        <f t="shared" si="233"/>
        <v>2004.81</v>
      </c>
      <c r="CB110" s="21">
        <f t="shared" si="234"/>
        <v>195.44</v>
      </c>
      <c r="CC110" s="21">
        <f t="shared" si="235"/>
        <v>182.83</v>
      </c>
      <c r="CD110" s="21">
        <f t="shared" si="236"/>
        <v>195.44</v>
      </c>
      <c r="CE110" s="21">
        <f t="shared" si="237"/>
        <v>189.13</v>
      </c>
      <c r="CF110" s="21">
        <f t="shared" si="238"/>
        <v>195.44</v>
      </c>
      <c r="CG110" s="21">
        <f t="shared" si="239"/>
        <v>189.13</v>
      </c>
      <c r="CH110" s="21">
        <f t="shared" si="240"/>
        <v>195.44</v>
      </c>
      <c r="CI110" s="21">
        <f t="shared" si="241"/>
        <v>195.44</v>
      </c>
      <c r="CJ110" s="21">
        <f t="shared" si="242"/>
        <v>189.13</v>
      </c>
      <c r="CK110" s="21">
        <f t="shared" si="243"/>
        <v>195.44</v>
      </c>
      <c r="CL110" s="21">
        <f t="shared" si="244"/>
        <v>189.13</v>
      </c>
      <c r="CM110" s="21">
        <f t="shared" si="245"/>
        <v>195.44</v>
      </c>
      <c r="CN110" s="21">
        <f t="shared" si="246"/>
        <v>2307.4300000000003</v>
      </c>
      <c r="CO110" s="26">
        <f t="shared" si="247"/>
        <v>4312.24</v>
      </c>
      <c r="CP110" s="21">
        <f t="shared" si="248"/>
        <v>195.44</v>
      </c>
      <c r="CQ110" s="21">
        <f t="shared" si="249"/>
        <v>176.52</v>
      </c>
      <c r="CR110" s="21">
        <f t="shared" si="250"/>
        <v>195.44</v>
      </c>
      <c r="CS110" s="21">
        <f t="shared" si="251"/>
        <v>189.13</v>
      </c>
      <c r="CT110" s="27">
        <f t="shared" si="252"/>
        <v>195.44</v>
      </c>
      <c r="CU110" s="21">
        <f t="shared" si="253"/>
        <v>189.13</v>
      </c>
      <c r="CV110" s="21">
        <f t="shared" si="254"/>
        <v>195.44</v>
      </c>
      <c r="CW110" s="21">
        <f t="shared" si="255"/>
        <v>195.44</v>
      </c>
      <c r="CX110" s="21">
        <f t="shared" si="256"/>
        <v>189.13</v>
      </c>
      <c r="CY110" s="21">
        <f t="shared" si="257"/>
        <v>195.44</v>
      </c>
      <c r="CZ110" s="21">
        <f t="shared" si="258"/>
        <v>189.13</v>
      </c>
      <c r="DA110" s="21">
        <f t="shared" si="259"/>
        <v>195.44</v>
      </c>
      <c r="DB110" s="26">
        <f t="shared" si="260"/>
        <v>2301.1200000000003</v>
      </c>
      <c r="DC110" s="26">
        <f t="shared" si="261"/>
        <v>6613.36</v>
      </c>
      <c r="DD110" s="21">
        <f t="shared" si="262"/>
        <v>195.44</v>
      </c>
      <c r="DE110" s="21">
        <f t="shared" si="268"/>
        <v>176.52</v>
      </c>
      <c r="DF110" s="21">
        <f t="shared" si="269"/>
        <v>195.44</v>
      </c>
      <c r="DG110" s="21">
        <f t="shared" si="270"/>
        <v>189.13</v>
      </c>
      <c r="DH110" s="21">
        <f t="shared" si="263"/>
        <v>195.44</v>
      </c>
      <c r="DI110" s="21">
        <f t="shared" si="264"/>
        <v>189.13</v>
      </c>
      <c r="DJ110" s="26"/>
      <c r="DK110" s="26"/>
      <c r="DL110" s="26"/>
      <c r="DM110" s="26"/>
      <c r="DN110" s="26"/>
      <c r="DO110" s="26"/>
      <c r="DP110" s="26">
        <f t="shared" si="265"/>
        <v>1141.0999999999999</v>
      </c>
      <c r="DQ110" s="21">
        <f t="shared" si="266"/>
        <v>7754.46</v>
      </c>
      <c r="DR110" s="21">
        <f t="shared" si="267"/>
        <v>5029.54</v>
      </c>
    </row>
    <row r="111" spans="2:122" ht="82.5">
      <c r="B111" s="35">
        <v>42163</v>
      </c>
      <c r="C111" s="47" t="s">
        <v>249</v>
      </c>
      <c r="D111" s="47" t="s">
        <v>305</v>
      </c>
      <c r="E111" s="36" t="s">
        <v>306</v>
      </c>
      <c r="F111" s="49" t="s">
        <v>307</v>
      </c>
      <c r="G111" s="21">
        <v>1220</v>
      </c>
      <c r="H111" s="21">
        <f t="shared" si="198"/>
        <v>122</v>
      </c>
      <c r="I111" s="21">
        <f t="shared" si="199"/>
        <v>1098</v>
      </c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21"/>
      <c r="AZ111" s="48"/>
      <c r="BA111" s="48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>
        <v>0</v>
      </c>
      <c r="BS111" s="21">
        <f t="shared" ref="BS111:BS122" si="273">ROUND((I111/5/365*22),2)</f>
        <v>13.24</v>
      </c>
      <c r="BT111" s="21">
        <f t="shared" si="226"/>
        <v>18.649999999999999</v>
      </c>
      <c r="BU111" s="21">
        <f t="shared" si="227"/>
        <v>18.649999999999999</v>
      </c>
      <c r="BV111" s="21">
        <f t="shared" si="228"/>
        <v>18.05</v>
      </c>
      <c r="BW111" s="21">
        <f t="shared" si="229"/>
        <v>18.649999999999999</v>
      </c>
      <c r="BX111" s="21">
        <f t="shared" si="230"/>
        <v>18.05</v>
      </c>
      <c r="BY111" s="21">
        <f t="shared" si="231"/>
        <v>18.649999999999999</v>
      </c>
      <c r="BZ111" s="21">
        <f t="shared" si="232"/>
        <v>123.94</v>
      </c>
      <c r="CA111" s="21">
        <f t="shared" si="233"/>
        <v>123.94</v>
      </c>
      <c r="CB111" s="21">
        <f t="shared" si="234"/>
        <v>18.649999999999999</v>
      </c>
      <c r="CC111" s="21">
        <f t="shared" si="235"/>
        <v>17.45</v>
      </c>
      <c r="CD111" s="21">
        <f t="shared" si="236"/>
        <v>18.649999999999999</v>
      </c>
      <c r="CE111" s="21">
        <f t="shared" si="237"/>
        <v>18.05</v>
      </c>
      <c r="CF111" s="21">
        <f t="shared" si="238"/>
        <v>18.649999999999999</v>
      </c>
      <c r="CG111" s="21">
        <f t="shared" si="239"/>
        <v>18.05</v>
      </c>
      <c r="CH111" s="21">
        <f t="shared" si="240"/>
        <v>18.649999999999999</v>
      </c>
      <c r="CI111" s="21">
        <f t="shared" si="241"/>
        <v>18.649999999999999</v>
      </c>
      <c r="CJ111" s="21">
        <f t="shared" si="242"/>
        <v>18.05</v>
      </c>
      <c r="CK111" s="21">
        <f t="shared" si="243"/>
        <v>18.649999999999999</v>
      </c>
      <c r="CL111" s="21">
        <f t="shared" si="244"/>
        <v>18.05</v>
      </c>
      <c r="CM111" s="21">
        <f t="shared" si="245"/>
        <v>18.649999999999999</v>
      </c>
      <c r="CN111" s="21">
        <f t="shared" si="246"/>
        <v>220.20000000000002</v>
      </c>
      <c r="CO111" s="26">
        <f t="shared" si="247"/>
        <v>344.14</v>
      </c>
      <c r="CP111" s="21">
        <f t="shared" si="248"/>
        <v>18.649999999999999</v>
      </c>
      <c r="CQ111" s="21">
        <f t="shared" si="249"/>
        <v>16.850000000000001</v>
      </c>
      <c r="CR111" s="21">
        <f t="shared" si="250"/>
        <v>18.649999999999999</v>
      </c>
      <c r="CS111" s="21">
        <f t="shared" si="251"/>
        <v>18.05</v>
      </c>
      <c r="CT111" s="27">
        <f t="shared" si="252"/>
        <v>18.649999999999999</v>
      </c>
      <c r="CU111" s="21">
        <f t="shared" si="253"/>
        <v>18.05</v>
      </c>
      <c r="CV111" s="21">
        <f t="shared" si="254"/>
        <v>18.649999999999999</v>
      </c>
      <c r="CW111" s="21">
        <f t="shared" si="255"/>
        <v>18.649999999999999</v>
      </c>
      <c r="CX111" s="21">
        <f t="shared" si="256"/>
        <v>18.05</v>
      </c>
      <c r="CY111" s="21">
        <f t="shared" si="257"/>
        <v>18.649999999999999</v>
      </c>
      <c r="CZ111" s="21">
        <f t="shared" si="258"/>
        <v>18.05</v>
      </c>
      <c r="DA111" s="21">
        <f t="shared" si="259"/>
        <v>18.649999999999999</v>
      </c>
      <c r="DB111" s="26">
        <f t="shared" si="260"/>
        <v>219.60000000000002</v>
      </c>
      <c r="DC111" s="26">
        <f t="shared" si="261"/>
        <v>563.74</v>
      </c>
      <c r="DD111" s="21">
        <f t="shared" si="262"/>
        <v>18.649999999999999</v>
      </c>
      <c r="DE111" s="21">
        <f t="shared" si="268"/>
        <v>16.850000000000001</v>
      </c>
      <c r="DF111" s="21">
        <f t="shared" si="269"/>
        <v>18.649999999999999</v>
      </c>
      <c r="DG111" s="21">
        <f t="shared" si="270"/>
        <v>18.05</v>
      </c>
      <c r="DH111" s="21">
        <f t="shared" si="263"/>
        <v>18.649999999999999</v>
      </c>
      <c r="DI111" s="21">
        <f t="shared" si="264"/>
        <v>18.05</v>
      </c>
      <c r="DJ111" s="26"/>
      <c r="DK111" s="26"/>
      <c r="DL111" s="26"/>
      <c r="DM111" s="26"/>
      <c r="DN111" s="26"/>
      <c r="DO111" s="26"/>
      <c r="DP111" s="26">
        <f t="shared" si="265"/>
        <v>108.89999999999999</v>
      </c>
      <c r="DQ111" s="21">
        <f t="shared" si="266"/>
        <v>672.64</v>
      </c>
      <c r="DR111" s="21">
        <f t="shared" si="267"/>
        <v>547.36</v>
      </c>
    </row>
    <row r="112" spans="2:122" ht="82.5">
      <c r="B112" s="35">
        <v>42163</v>
      </c>
      <c r="C112" s="47" t="s">
        <v>249</v>
      </c>
      <c r="D112" s="47" t="s">
        <v>308</v>
      </c>
      <c r="E112" s="36" t="s">
        <v>142</v>
      </c>
      <c r="F112" s="49" t="s">
        <v>309</v>
      </c>
      <c r="G112" s="21">
        <v>1220</v>
      </c>
      <c r="H112" s="21">
        <f t="shared" si="198"/>
        <v>122</v>
      </c>
      <c r="I112" s="21">
        <f t="shared" si="199"/>
        <v>1098</v>
      </c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21"/>
      <c r="AZ112" s="48"/>
      <c r="BA112" s="48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>
        <v>0</v>
      </c>
      <c r="BS112" s="21">
        <f t="shared" si="273"/>
        <v>13.24</v>
      </c>
      <c r="BT112" s="21">
        <f t="shared" si="226"/>
        <v>18.649999999999999</v>
      </c>
      <c r="BU112" s="21">
        <f t="shared" si="227"/>
        <v>18.649999999999999</v>
      </c>
      <c r="BV112" s="21">
        <f t="shared" si="228"/>
        <v>18.05</v>
      </c>
      <c r="BW112" s="21">
        <f t="shared" si="229"/>
        <v>18.649999999999999</v>
      </c>
      <c r="BX112" s="21">
        <f t="shared" si="230"/>
        <v>18.05</v>
      </c>
      <c r="BY112" s="21">
        <f t="shared" si="231"/>
        <v>18.649999999999999</v>
      </c>
      <c r="BZ112" s="21">
        <f t="shared" si="232"/>
        <v>123.94</v>
      </c>
      <c r="CA112" s="21">
        <f t="shared" si="233"/>
        <v>123.94</v>
      </c>
      <c r="CB112" s="21">
        <f t="shared" si="234"/>
        <v>18.649999999999999</v>
      </c>
      <c r="CC112" s="21">
        <f t="shared" si="235"/>
        <v>17.45</v>
      </c>
      <c r="CD112" s="21">
        <f t="shared" si="236"/>
        <v>18.649999999999999</v>
      </c>
      <c r="CE112" s="21">
        <f t="shared" si="237"/>
        <v>18.05</v>
      </c>
      <c r="CF112" s="21">
        <f t="shared" si="238"/>
        <v>18.649999999999999</v>
      </c>
      <c r="CG112" s="21">
        <f t="shared" si="239"/>
        <v>18.05</v>
      </c>
      <c r="CH112" s="21">
        <f t="shared" si="240"/>
        <v>18.649999999999999</v>
      </c>
      <c r="CI112" s="21">
        <f t="shared" si="241"/>
        <v>18.649999999999999</v>
      </c>
      <c r="CJ112" s="21">
        <f t="shared" si="242"/>
        <v>18.05</v>
      </c>
      <c r="CK112" s="21">
        <f t="shared" si="243"/>
        <v>18.649999999999999</v>
      </c>
      <c r="CL112" s="21">
        <f t="shared" si="244"/>
        <v>18.05</v>
      </c>
      <c r="CM112" s="21">
        <f t="shared" si="245"/>
        <v>18.649999999999999</v>
      </c>
      <c r="CN112" s="21">
        <f t="shared" si="246"/>
        <v>220.20000000000002</v>
      </c>
      <c r="CO112" s="26">
        <f t="shared" si="247"/>
        <v>344.14</v>
      </c>
      <c r="CP112" s="21">
        <f t="shared" si="248"/>
        <v>18.649999999999999</v>
      </c>
      <c r="CQ112" s="21">
        <f t="shared" si="249"/>
        <v>16.850000000000001</v>
      </c>
      <c r="CR112" s="21">
        <f t="shared" si="250"/>
        <v>18.649999999999999</v>
      </c>
      <c r="CS112" s="21">
        <f t="shared" si="251"/>
        <v>18.05</v>
      </c>
      <c r="CT112" s="27">
        <f t="shared" si="252"/>
        <v>18.649999999999999</v>
      </c>
      <c r="CU112" s="21">
        <f t="shared" si="253"/>
        <v>18.05</v>
      </c>
      <c r="CV112" s="21">
        <f t="shared" si="254"/>
        <v>18.649999999999999</v>
      </c>
      <c r="CW112" s="21">
        <f t="shared" si="255"/>
        <v>18.649999999999999</v>
      </c>
      <c r="CX112" s="21">
        <f t="shared" si="256"/>
        <v>18.05</v>
      </c>
      <c r="CY112" s="21">
        <f t="shared" si="257"/>
        <v>18.649999999999999</v>
      </c>
      <c r="CZ112" s="21">
        <f t="shared" si="258"/>
        <v>18.05</v>
      </c>
      <c r="DA112" s="21">
        <f t="shared" si="259"/>
        <v>18.649999999999999</v>
      </c>
      <c r="DB112" s="26">
        <f t="shared" si="260"/>
        <v>219.60000000000002</v>
      </c>
      <c r="DC112" s="26">
        <f t="shared" si="261"/>
        <v>563.74</v>
      </c>
      <c r="DD112" s="21">
        <f t="shared" si="262"/>
        <v>18.649999999999999</v>
      </c>
      <c r="DE112" s="21">
        <f t="shared" si="268"/>
        <v>16.850000000000001</v>
      </c>
      <c r="DF112" s="21">
        <f t="shared" si="269"/>
        <v>18.649999999999999</v>
      </c>
      <c r="DG112" s="21">
        <f t="shared" si="270"/>
        <v>18.05</v>
      </c>
      <c r="DH112" s="21">
        <f t="shared" si="263"/>
        <v>18.649999999999999</v>
      </c>
      <c r="DI112" s="21">
        <f t="shared" si="264"/>
        <v>18.05</v>
      </c>
      <c r="DJ112" s="26"/>
      <c r="DK112" s="26"/>
      <c r="DL112" s="26"/>
      <c r="DM112" s="26"/>
      <c r="DN112" s="26"/>
      <c r="DO112" s="26"/>
      <c r="DP112" s="26">
        <f t="shared" si="265"/>
        <v>108.89999999999999</v>
      </c>
      <c r="DQ112" s="21">
        <f t="shared" si="266"/>
        <v>672.64</v>
      </c>
      <c r="DR112" s="21">
        <f t="shared" si="267"/>
        <v>547.36</v>
      </c>
    </row>
    <row r="113" spans="2:123" ht="82.5">
      <c r="B113" s="35">
        <v>42163</v>
      </c>
      <c r="C113" s="47" t="s">
        <v>249</v>
      </c>
      <c r="D113" s="47" t="s">
        <v>310</v>
      </c>
      <c r="E113" s="36" t="s">
        <v>283</v>
      </c>
      <c r="F113" s="49" t="s">
        <v>311</v>
      </c>
      <c r="G113" s="21">
        <v>1220</v>
      </c>
      <c r="H113" s="21">
        <f t="shared" si="198"/>
        <v>122</v>
      </c>
      <c r="I113" s="21">
        <f t="shared" si="199"/>
        <v>1098</v>
      </c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21"/>
      <c r="AZ113" s="48"/>
      <c r="BA113" s="48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>
        <v>0</v>
      </c>
      <c r="BS113" s="21">
        <f t="shared" si="273"/>
        <v>13.24</v>
      </c>
      <c r="BT113" s="21">
        <f t="shared" si="226"/>
        <v>18.649999999999999</v>
      </c>
      <c r="BU113" s="21">
        <f t="shared" si="227"/>
        <v>18.649999999999999</v>
      </c>
      <c r="BV113" s="21">
        <f t="shared" si="228"/>
        <v>18.05</v>
      </c>
      <c r="BW113" s="21">
        <f t="shared" si="229"/>
        <v>18.649999999999999</v>
      </c>
      <c r="BX113" s="21">
        <f t="shared" si="230"/>
        <v>18.05</v>
      </c>
      <c r="BY113" s="21">
        <f t="shared" si="231"/>
        <v>18.649999999999999</v>
      </c>
      <c r="BZ113" s="21">
        <f t="shared" si="232"/>
        <v>123.94</v>
      </c>
      <c r="CA113" s="21">
        <f t="shared" si="233"/>
        <v>123.94</v>
      </c>
      <c r="CB113" s="21">
        <f t="shared" si="234"/>
        <v>18.649999999999999</v>
      </c>
      <c r="CC113" s="21">
        <f t="shared" si="235"/>
        <v>17.45</v>
      </c>
      <c r="CD113" s="21">
        <f t="shared" si="236"/>
        <v>18.649999999999999</v>
      </c>
      <c r="CE113" s="21">
        <f t="shared" si="237"/>
        <v>18.05</v>
      </c>
      <c r="CF113" s="21">
        <f t="shared" si="238"/>
        <v>18.649999999999999</v>
      </c>
      <c r="CG113" s="21">
        <f t="shared" si="239"/>
        <v>18.05</v>
      </c>
      <c r="CH113" s="21">
        <f t="shared" si="240"/>
        <v>18.649999999999999</v>
      </c>
      <c r="CI113" s="21">
        <f t="shared" si="241"/>
        <v>18.649999999999999</v>
      </c>
      <c r="CJ113" s="21">
        <f t="shared" si="242"/>
        <v>18.05</v>
      </c>
      <c r="CK113" s="21">
        <f t="shared" si="243"/>
        <v>18.649999999999999</v>
      </c>
      <c r="CL113" s="21">
        <f t="shared" si="244"/>
        <v>18.05</v>
      </c>
      <c r="CM113" s="21">
        <f t="shared" si="245"/>
        <v>18.649999999999999</v>
      </c>
      <c r="CN113" s="21">
        <f t="shared" si="246"/>
        <v>220.20000000000002</v>
      </c>
      <c r="CO113" s="26">
        <f t="shared" si="247"/>
        <v>344.14</v>
      </c>
      <c r="CP113" s="21">
        <f t="shared" si="248"/>
        <v>18.649999999999999</v>
      </c>
      <c r="CQ113" s="21">
        <f t="shared" si="249"/>
        <v>16.850000000000001</v>
      </c>
      <c r="CR113" s="21">
        <f t="shared" si="250"/>
        <v>18.649999999999999</v>
      </c>
      <c r="CS113" s="21">
        <f t="shared" si="251"/>
        <v>18.05</v>
      </c>
      <c r="CT113" s="27">
        <f t="shared" si="252"/>
        <v>18.649999999999999</v>
      </c>
      <c r="CU113" s="21">
        <f t="shared" si="253"/>
        <v>18.05</v>
      </c>
      <c r="CV113" s="21">
        <f t="shared" si="254"/>
        <v>18.649999999999999</v>
      </c>
      <c r="CW113" s="21">
        <f t="shared" si="255"/>
        <v>18.649999999999999</v>
      </c>
      <c r="CX113" s="21">
        <f t="shared" si="256"/>
        <v>18.05</v>
      </c>
      <c r="CY113" s="21">
        <f t="shared" si="257"/>
        <v>18.649999999999999</v>
      </c>
      <c r="CZ113" s="21">
        <f t="shared" si="258"/>
        <v>18.05</v>
      </c>
      <c r="DA113" s="21">
        <f t="shared" si="259"/>
        <v>18.649999999999999</v>
      </c>
      <c r="DB113" s="26">
        <f t="shared" si="260"/>
        <v>219.60000000000002</v>
      </c>
      <c r="DC113" s="26">
        <f t="shared" si="261"/>
        <v>563.74</v>
      </c>
      <c r="DD113" s="21">
        <f t="shared" si="262"/>
        <v>18.649999999999999</v>
      </c>
      <c r="DE113" s="21">
        <f t="shared" si="268"/>
        <v>16.850000000000001</v>
      </c>
      <c r="DF113" s="21">
        <f t="shared" si="269"/>
        <v>18.649999999999999</v>
      </c>
      <c r="DG113" s="21">
        <f t="shared" si="270"/>
        <v>18.05</v>
      </c>
      <c r="DH113" s="21">
        <f t="shared" si="263"/>
        <v>18.649999999999999</v>
      </c>
      <c r="DI113" s="21">
        <f t="shared" si="264"/>
        <v>18.05</v>
      </c>
      <c r="DJ113" s="26"/>
      <c r="DK113" s="26"/>
      <c r="DL113" s="26"/>
      <c r="DM113" s="26"/>
      <c r="DN113" s="26"/>
      <c r="DO113" s="26"/>
      <c r="DP113" s="26">
        <f t="shared" si="265"/>
        <v>108.89999999999999</v>
      </c>
      <c r="DQ113" s="21">
        <f t="shared" si="266"/>
        <v>672.64</v>
      </c>
      <c r="DR113" s="21">
        <f t="shared" si="267"/>
        <v>547.36</v>
      </c>
    </row>
    <row r="114" spans="2:123" ht="82.5">
      <c r="B114" s="35">
        <v>42163</v>
      </c>
      <c r="C114" s="47" t="s">
        <v>249</v>
      </c>
      <c r="D114" s="47" t="s">
        <v>312</v>
      </c>
      <c r="E114" s="36" t="s">
        <v>286</v>
      </c>
      <c r="F114" s="49" t="s">
        <v>313</v>
      </c>
      <c r="G114" s="21">
        <v>1220</v>
      </c>
      <c r="H114" s="21">
        <f t="shared" si="198"/>
        <v>122</v>
      </c>
      <c r="I114" s="21">
        <f t="shared" si="199"/>
        <v>1098</v>
      </c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21"/>
      <c r="AZ114" s="48"/>
      <c r="BA114" s="48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>
        <v>0</v>
      </c>
      <c r="BS114" s="21">
        <f t="shared" si="273"/>
        <v>13.24</v>
      </c>
      <c r="BT114" s="21">
        <f t="shared" si="226"/>
        <v>18.649999999999999</v>
      </c>
      <c r="BU114" s="21">
        <f t="shared" si="227"/>
        <v>18.649999999999999</v>
      </c>
      <c r="BV114" s="21">
        <f t="shared" si="228"/>
        <v>18.05</v>
      </c>
      <c r="BW114" s="21">
        <f t="shared" si="229"/>
        <v>18.649999999999999</v>
      </c>
      <c r="BX114" s="21">
        <f t="shared" si="230"/>
        <v>18.05</v>
      </c>
      <c r="BY114" s="21">
        <f t="shared" si="231"/>
        <v>18.649999999999999</v>
      </c>
      <c r="BZ114" s="21">
        <f t="shared" si="232"/>
        <v>123.94</v>
      </c>
      <c r="CA114" s="21">
        <f t="shared" si="233"/>
        <v>123.94</v>
      </c>
      <c r="CB114" s="21">
        <f t="shared" si="234"/>
        <v>18.649999999999999</v>
      </c>
      <c r="CC114" s="21">
        <f t="shared" si="235"/>
        <v>17.45</v>
      </c>
      <c r="CD114" s="21">
        <f t="shared" si="236"/>
        <v>18.649999999999999</v>
      </c>
      <c r="CE114" s="21">
        <f t="shared" si="237"/>
        <v>18.05</v>
      </c>
      <c r="CF114" s="21">
        <f t="shared" si="238"/>
        <v>18.649999999999999</v>
      </c>
      <c r="CG114" s="21">
        <f t="shared" si="239"/>
        <v>18.05</v>
      </c>
      <c r="CH114" s="21">
        <f t="shared" si="240"/>
        <v>18.649999999999999</v>
      </c>
      <c r="CI114" s="21">
        <f t="shared" si="241"/>
        <v>18.649999999999999</v>
      </c>
      <c r="CJ114" s="21">
        <f t="shared" si="242"/>
        <v>18.05</v>
      </c>
      <c r="CK114" s="21">
        <f t="shared" si="243"/>
        <v>18.649999999999999</v>
      </c>
      <c r="CL114" s="21">
        <f t="shared" si="244"/>
        <v>18.05</v>
      </c>
      <c r="CM114" s="21">
        <f t="shared" si="245"/>
        <v>18.649999999999999</v>
      </c>
      <c r="CN114" s="21">
        <f t="shared" si="246"/>
        <v>220.20000000000002</v>
      </c>
      <c r="CO114" s="26">
        <f t="shared" si="247"/>
        <v>344.14</v>
      </c>
      <c r="CP114" s="21">
        <f t="shared" si="248"/>
        <v>18.649999999999999</v>
      </c>
      <c r="CQ114" s="21">
        <f t="shared" si="249"/>
        <v>16.850000000000001</v>
      </c>
      <c r="CR114" s="21">
        <f t="shared" si="250"/>
        <v>18.649999999999999</v>
      </c>
      <c r="CS114" s="21">
        <f t="shared" si="251"/>
        <v>18.05</v>
      </c>
      <c r="CT114" s="27">
        <f t="shared" si="252"/>
        <v>18.649999999999999</v>
      </c>
      <c r="CU114" s="21">
        <f t="shared" si="253"/>
        <v>18.05</v>
      </c>
      <c r="CV114" s="21">
        <f t="shared" si="254"/>
        <v>18.649999999999999</v>
      </c>
      <c r="CW114" s="21">
        <f t="shared" si="255"/>
        <v>18.649999999999999</v>
      </c>
      <c r="CX114" s="21">
        <f t="shared" si="256"/>
        <v>18.05</v>
      </c>
      <c r="CY114" s="21">
        <f t="shared" si="257"/>
        <v>18.649999999999999</v>
      </c>
      <c r="CZ114" s="21">
        <f t="shared" si="258"/>
        <v>18.05</v>
      </c>
      <c r="DA114" s="21">
        <f t="shared" si="259"/>
        <v>18.649999999999999</v>
      </c>
      <c r="DB114" s="26">
        <f t="shared" si="260"/>
        <v>219.60000000000002</v>
      </c>
      <c r="DC114" s="26">
        <f t="shared" si="261"/>
        <v>563.74</v>
      </c>
      <c r="DD114" s="21">
        <f t="shared" si="262"/>
        <v>18.649999999999999</v>
      </c>
      <c r="DE114" s="21">
        <f>ROUND((I114/5/365*28),2)</f>
        <v>16.850000000000001</v>
      </c>
      <c r="DF114" s="21">
        <f t="shared" si="269"/>
        <v>18.649999999999999</v>
      </c>
      <c r="DG114" s="21">
        <f t="shared" si="270"/>
        <v>18.05</v>
      </c>
      <c r="DH114" s="21">
        <f t="shared" si="263"/>
        <v>18.649999999999999</v>
      </c>
      <c r="DI114" s="21">
        <f t="shared" si="264"/>
        <v>18.05</v>
      </c>
      <c r="DJ114" s="26"/>
      <c r="DK114" s="26"/>
      <c r="DL114" s="26"/>
      <c r="DM114" s="26"/>
      <c r="DN114" s="26"/>
      <c r="DO114" s="26"/>
      <c r="DP114" s="26">
        <f t="shared" si="265"/>
        <v>108.89999999999999</v>
      </c>
      <c r="DQ114" s="21">
        <f t="shared" si="266"/>
        <v>672.64</v>
      </c>
      <c r="DR114" s="21">
        <f t="shared" si="267"/>
        <v>547.36</v>
      </c>
    </row>
    <row r="115" spans="2:123" ht="82.5">
      <c r="B115" s="35">
        <v>42163</v>
      </c>
      <c r="C115" s="47" t="s">
        <v>249</v>
      </c>
      <c r="D115" s="47" t="s">
        <v>314</v>
      </c>
      <c r="E115" s="36" t="s">
        <v>289</v>
      </c>
      <c r="F115" s="49" t="s">
        <v>315</v>
      </c>
      <c r="G115" s="21">
        <v>1220</v>
      </c>
      <c r="H115" s="21">
        <f t="shared" si="198"/>
        <v>122</v>
      </c>
      <c r="I115" s="21">
        <f t="shared" si="199"/>
        <v>1098</v>
      </c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21"/>
      <c r="AZ115" s="48"/>
      <c r="BA115" s="48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>
        <v>0</v>
      </c>
      <c r="BS115" s="21">
        <f t="shared" si="273"/>
        <v>13.24</v>
      </c>
      <c r="BT115" s="21">
        <f t="shared" si="226"/>
        <v>18.649999999999999</v>
      </c>
      <c r="BU115" s="21">
        <f t="shared" si="227"/>
        <v>18.649999999999999</v>
      </c>
      <c r="BV115" s="21">
        <f t="shared" si="228"/>
        <v>18.05</v>
      </c>
      <c r="BW115" s="21">
        <f t="shared" si="229"/>
        <v>18.649999999999999</v>
      </c>
      <c r="BX115" s="21">
        <f t="shared" si="230"/>
        <v>18.05</v>
      </c>
      <c r="BY115" s="21">
        <f t="shared" si="231"/>
        <v>18.649999999999999</v>
      </c>
      <c r="BZ115" s="21">
        <f t="shared" si="232"/>
        <v>123.94</v>
      </c>
      <c r="CA115" s="21">
        <f t="shared" si="233"/>
        <v>123.94</v>
      </c>
      <c r="CB115" s="21">
        <f t="shared" si="234"/>
        <v>18.649999999999999</v>
      </c>
      <c r="CC115" s="21">
        <f t="shared" si="235"/>
        <v>17.45</v>
      </c>
      <c r="CD115" s="21">
        <f t="shared" si="236"/>
        <v>18.649999999999999</v>
      </c>
      <c r="CE115" s="21">
        <f t="shared" si="237"/>
        <v>18.05</v>
      </c>
      <c r="CF115" s="21">
        <f t="shared" si="238"/>
        <v>18.649999999999999</v>
      </c>
      <c r="CG115" s="21">
        <f t="shared" si="239"/>
        <v>18.05</v>
      </c>
      <c r="CH115" s="21">
        <f t="shared" si="240"/>
        <v>18.649999999999999</v>
      </c>
      <c r="CI115" s="21">
        <f t="shared" si="241"/>
        <v>18.649999999999999</v>
      </c>
      <c r="CJ115" s="21">
        <f t="shared" si="242"/>
        <v>18.05</v>
      </c>
      <c r="CK115" s="21">
        <f t="shared" si="243"/>
        <v>18.649999999999999</v>
      </c>
      <c r="CL115" s="21">
        <f t="shared" si="244"/>
        <v>18.05</v>
      </c>
      <c r="CM115" s="21">
        <f t="shared" si="245"/>
        <v>18.649999999999999</v>
      </c>
      <c r="CN115" s="21">
        <f t="shared" si="246"/>
        <v>220.20000000000002</v>
      </c>
      <c r="CO115" s="26">
        <f t="shared" si="247"/>
        <v>344.14</v>
      </c>
      <c r="CP115" s="21">
        <f t="shared" si="248"/>
        <v>18.649999999999999</v>
      </c>
      <c r="CQ115" s="21">
        <f t="shared" si="249"/>
        <v>16.850000000000001</v>
      </c>
      <c r="CR115" s="21">
        <f t="shared" si="250"/>
        <v>18.649999999999999</v>
      </c>
      <c r="CS115" s="21">
        <f t="shared" si="251"/>
        <v>18.05</v>
      </c>
      <c r="CT115" s="27">
        <f t="shared" si="252"/>
        <v>18.649999999999999</v>
      </c>
      <c r="CU115" s="21">
        <f t="shared" si="253"/>
        <v>18.05</v>
      </c>
      <c r="CV115" s="21">
        <f t="shared" si="254"/>
        <v>18.649999999999999</v>
      </c>
      <c r="CW115" s="21">
        <f t="shared" si="255"/>
        <v>18.649999999999999</v>
      </c>
      <c r="CX115" s="21">
        <f t="shared" si="256"/>
        <v>18.05</v>
      </c>
      <c r="CY115" s="21">
        <f t="shared" si="257"/>
        <v>18.649999999999999</v>
      </c>
      <c r="CZ115" s="21">
        <f t="shared" si="258"/>
        <v>18.05</v>
      </c>
      <c r="DA115" s="21">
        <f t="shared" si="259"/>
        <v>18.649999999999999</v>
      </c>
      <c r="DB115" s="26">
        <f t="shared" si="260"/>
        <v>219.60000000000002</v>
      </c>
      <c r="DC115" s="26">
        <f t="shared" si="261"/>
        <v>563.74</v>
      </c>
      <c r="DD115" s="21">
        <f t="shared" si="262"/>
        <v>18.649999999999999</v>
      </c>
      <c r="DE115" s="21">
        <f t="shared" si="268"/>
        <v>16.850000000000001</v>
      </c>
      <c r="DF115" s="21">
        <f t="shared" si="269"/>
        <v>18.649999999999999</v>
      </c>
      <c r="DG115" s="21">
        <f t="shared" si="270"/>
        <v>18.05</v>
      </c>
      <c r="DH115" s="21">
        <f t="shared" si="263"/>
        <v>18.649999999999999</v>
      </c>
      <c r="DI115" s="21">
        <f t="shared" si="264"/>
        <v>18.05</v>
      </c>
      <c r="DJ115" s="26"/>
      <c r="DK115" s="26"/>
      <c r="DL115" s="26"/>
      <c r="DM115" s="26"/>
      <c r="DN115" s="26"/>
      <c r="DO115" s="26"/>
      <c r="DP115" s="26">
        <f t="shared" si="265"/>
        <v>108.89999999999999</v>
      </c>
      <c r="DQ115" s="21">
        <f t="shared" si="266"/>
        <v>672.64</v>
      </c>
      <c r="DR115" s="21">
        <f t="shared" si="267"/>
        <v>547.36</v>
      </c>
    </row>
    <row r="116" spans="2:123" ht="82.5">
      <c r="B116" s="35">
        <v>42163</v>
      </c>
      <c r="C116" s="47" t="s">
        <v>249</v>
      </c>
      <c r="D116" s="47" t="s">
        <v>316</v>
      </c>
      <c r="E116" s="36" t="s">
        <v>186</v>
      </c>
      <c r="F116" s="49" t="s">
        <v>317</v>
      </c>
      <c r="G116" s="21">
        <v>1220</v>
      </c>
      <c r="H116" s="21">
        <f t="shared" si="198"/>
        <v>122</v>
      </c>
      <c r="I116" s="21">
        <f t="shared" si="199"/>
        <v>1098</v>
      </c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21"/>
      <c r="AZ116" s="48"/>
      <c r="BA116" s="48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>
        <v>0</v>
      </c>
      <c r="BS116" s="21">
        <f t="shared" si="273"/>
        <v>13.24</v>
      </c>
      <c r="BT116" s="21">
        <f t="shared" si="226"/>
        <v>18.649999999999999</v>
      </c>
      <c r="BU116" s="21">
        <f t="shared" si="227"/>
        <v>18.649999999999999</v>
      </c>
      <c r="BV116" s="21">
        <f t="shared" si="228"/>
        <v>18.05</v>
      </c>
      <c r="BW116" s="21">
        <f t="shared" si="229"/>
        <v>18.649999999999999</v>
      </c>
      <c r="BX116" s="21">
        <f t="shared" si="230"/>
        <v>18.05</v>
      </c>
      <c r="BY116" s="21">
        <f t="shared" si="231"/>
        <v>18.649999999999999</v>
      </c>
      <c r="BZ116" s="21">
        <f t="shared" si="232"/>
        <v>123.94</v>
      </c>
      <c r="CA116" s="21">
        <f t="shared" si="233"/>
        <v>123.94</v>
      </c>
      <c r="CB116" s="21">
        <f t="shared" si="234"/>
        <v>18.649999999999999</v>
      </c>
      <c r="CC116" s="21">
        <f t="shared" si="235"/>
        <v>17.45</v>
      </c>
      <c r="CD116" s="21">
        <f t="shared" si="236"/>
        <v>18.649999999999999</v>
      </c>
      <c r="CE116" s="21">
        <f t="shared" si="237"/>
        <v>18.05</v>
      </c>
      <c r="CF116" s="21">
        <f t="shared" si="238"/>
        <v>18.649999999999999</v>
      </c>
      <c r="CG116" s="21">
        <f t="shared" si="239"/>
        <v>18.05</v>
      </c>
      <c r="CH116" s="21">
        <f t="shared" si="240"/>
        <v>18.649999999999999</v>
      </c>
      <c r="CI116" s="21">
        <f t="shared" si="241"/>
        <v>18.649999999999999</v>
      </c>
      <c r="CJ116" s="21">
        <f t="shared" si="242"/>
        <v>18.05</v>
      </c>
      <c r="CK116" s="21">
        <f t="shared" si="243"/>
        <v>18.649999999999999</v>
      </c>
      <c r="CL116" s="21">
        <f t="shared" si="244"/>
        <v>18.05</v>
      </c>
      <c r="CM116" s="21">
        <f t="shared" si="245"/>
        <v>18.649999999999999</v>
      </c>
      <c r="CN116" s="21">
        <f t="shared" si="246"/>
        <v>220.20000000000002</v>
      </c>
      <c r="CO116" s="26">
        <f t="shared" si="247"/>
        <v>344.14</v>
      </c>
      <c r="CP116" s="21">
        <f t="shared" si="248"/>
        <v>18.649999999999999</v>
      </c>
      <c r="CQ116" s="21">
        <f t="shared" si="249"/>
        <v>16.850000000000001</v>
      </c>
      <c r="CR116" s="21">
        <f t="shared" si="250"/>
        <v>18.649999999999999</v>
      </c>
      <c r="CS116" s="21">
        <f t="shared" si="251"/>
        <v>18.05</v>
      </c>
      <c r="CT116" s="27">
        <f t="shared" si="252"/>
        <v>18.649999999999999</v>
      </c>
      <c r="CU116" s="21">
        <f t="shared" si="253"/>
        <v>18.05</v>
      </c>
      <c r="CV116" s="21">
        <f t="shared" si="254"/>
        <v>18.649999999999999</v>
      </c>
      <c r="CW116" s="21">
        <f t="shared" si="255"/>
        <v>18.649999999999999</v>
      </c>
      <c r="CX116" s="21">
        <f t="shared" si="256"/>
        <v>18.05</v>
      </c>
      <c r="CY116" s="21">
        <f t="shared" si="257"/>
        <v>18.649999999999999</v>
      </c>
      <c r="CZ116" s="21">
        <f t="shared" si="258"/>
        <v>18.05</v>
      </c>
      <c r="DA116" s="21">
        <f t="shared" si="259"/>
        <v>18.649999999999999</v>
      </c>
      <c r="DB116" s="26">
        <f t="shared" si="260"/>
        <v>219.60000000000002</v>
      </c>
      <c r="DC116" s="26">
        <f t="shared" si="261"/>
        <v>563.74</v>
      </c>
      <c r="DD116" s="21">
        <f t="shared" si="262"/>
        <v>18.649999999999999</v>
      </c>
      <c r="DE116" s="21">
        <f t="shared" si="268"/>
        <v>16.850000000000001</v>
      </c>
      <c r="DF116" s="21">
        <f t="shared" si="269"/>
        <v>18.649999999999999</v>
      </c>
      <c r="DG116" s="21">
        <f t="shared" si="270"/>
        <v>18.05</v>
      </c>
      <c r="DH116" s="21">
        <f t="shared" si="263"/>
        <v>18.649999999999999</v>
      </c>
      <c r="DI116" s="21">
        <f t="shared" si="264"/>
        <v>18.05</v>
      </c>
      <c r="DJ116" s="26"/>
      <c r="DK116" s="26"/>
      <c r="DL116" s="26"/>
      <c r="DM116" s="26"/>
      <c r="DN116" s="26"/>
      <c r="DO116" s="26"/>
      <c r="DP116" s="26">
        <f t="shared" si="265"/>
        <v>108.89999999999999</v>
      </c>
      <c r="DQ116" s="21">
        <f t="shared" si="266"/>
        <v>672.64</v>
      </c>
      <c r="DR116" s="21">
        <f t="shared" si="267"/>
        <v>547.36</v>
      </c>
    </row>
    <row r="117" spans="2:123" ht="82.5">
      <c r="B117" s="35">
        <v>42163</v>
      </c>
      <c r="C117" s="47" t="s">
        <v>249</v>
      </c>
      <c r="D117" s="47" t="s">
        <v>318</v>
      </c>
      <c r="E117" s="36" t="s">
        <v>319</v>
      </c>
      <c r="F117" s="49" t="s">
        <v>320</v>
      </c>
      <c r="G117" s="21">
        <v>1220</v>
      </c>
      <c r="H117" s="21">
        <f t="shared" si="198"/>
        <v>122</v>
      </c>
      <c r="I117" s="21">
        <f t="shared" si="199"/>
        <v>1098</v>
      </c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21"/>
      <c r="AZ117" s="48"/>
      <c r="BA117" s="48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>
        <v>0</v>
      </c>
      <c r="BS117" s="21">
        <f t="shared" si="273"/>
        <v>13.24</v>
      </c>
      <c r="BT117" s="21">
        <f t="shared" si="226"/>
        <v>18.649999999999999</v>
      </c>
      <c r="BU117" s="21">
        <f t="shared" si="227"/>
        <v>18.649999999999999</v>
      </c>
      <c r="BV117" s="21">
        <f t="shared" si="228"/>
        <v>18.05</v>
      </c>
      <c r="BW117" s="21">
        <f t="shared" si="229"/>
        <v>18.649999999999999</v>
      </c>
      <c r="BX117" s="21">
        <f t="shared" si="230"/>
        <v>18.05</v>
      </c>
      <c r="BY117" s="21">
        <f t="shared" si="231"/>
        <v>18.649999999999999</v>
      </c>
      <c r="BZ117" s="21">
        <f t="shared" si="232"/>
        <v>123.94</v>
      </c>
      <c r="CA117" s="21">
        <f t="shared" si="233"/>
        <v>123.94</v>
      </c>
      <c r="CB117" s="21">
        <f t="shared" si="234"/>
        <v>18.649999999999999</v>
      </c>
      <c r="CC117" s="21">
        <f t="shared" si="235"/>
        <v>17.45</v>
      </c>
      <c r="CD117" s="21">
        <f t="shared" si="236"/>
        <v>18.649999999999999</v>
      </c>
      <c r="CE117" s="21">
        <f t="shared" si="237"/>
        <v>18.05</v>
      </c>
      <c r="CF117" s="21">
        <f t="shared" si="238"/>
        <v>18.649999999999999</v>
      </c>
      <c r="CG117" s="21">
        <f t="shared" si="239"/>
        <v>18.05</v>
      </c>
      <c r="CH117" s="21">
        <f t="shared" si="240"/>
        <v>18.649999999999999</v>
      </c>
      <c r="CI117" s="21">
        <f t="shared" si="241"/>
        <v>18.649999999999999</v>
      </c>
      <c r="CJ117" s="21">
        <f t="shared" si="242"/>
        <v>18.05</v>
      </c>
      <c r="CK117" s="21">
        <f t="shared" si="243"/>
        <v>18.649999999999999</v>
      </c>
      <c r="CL117" s="21">
        <f t="shared" si="244"/>
        <v>18.05</v>
      </c>
      <c r="CM117" s="21">
        <f t="shared" si="245"/>
        <v>18.649999999999999</v>
      </c>
      <c r="CN117" s="21">
        <f t="shared" si="246"/>
        <v>220.20000000000002</v>
      </c>
      <c r="CO117" s="26">
        <f t="shared" si="247"/>
        <v>344.14</v>
      </c>
      <c r="CP117" s="21">
        <f t="shared" si="248"/>
        <v>18.649999999999999</v>
      </c>
      <c r="CQ117" s="21">
        <f t="shared" si="249"/>
        <v>16.850000000000001</v>
      </c>
      <c r="CR117" s="21">
        <f t="shared" si="250"/>
        <v>18.649999999999999</v>
      </c>
      <c r="CS117" s="21">
        <f t="shared" si="251"/>
        <v>18.05</v>
      </c>
      <c r="CT117" s="27">
        <f t="shared" si="252"/>
        <v>18.649999999999999</v>
      </c>
      <c r="CU117" s="21">
        <f t="shared" si="253"/>
        <v>18.05</v>
      </c>
      <c r="CV117" s="21">
        <f t="shared" si="254"/>
        <v>18.649999999999999</v>
      </c>
      <c r="CW117" s="21">
        <f t="shared" si="255"/>
        <v>18.649999999999999</v>
      </c>
      <c r="CX117" s="21">
        <f t="shared" si="256"/>
        <v>18.05</v>
      </c>
      <c r="CY117" s="21">
        <f t="shared" si="257"/>
        <v>18.649999999999999</v>
      </c>
      <c r="CZ117" s="21">
        <f t="shared" si="258"/>
        <v>18.05</v>
      </c>
      <c r="DA117" s="21">
        <f t="shared" si="259"/>
        <v>18.649999999999999</v>
      </c>
      <c r="DB117" s="26">
        <f t="shared" si="260"/>
        <v>219.60000000000002</v>
      </c>
      <c r="DC117" s="26">
        <f t="shared" si="261"/>
        <v>563.74</v>
      </c>
      <c r="DD117" s="21">
        <f t="shared" si="262"/>
        <v>18.649999999999999</v>
      </c>
      <c r="DE117" s="21">
        <f t="shared" si="268"/>
        <v>16.850000000000001</v>
      </c>
      <c r="DF117" s="21">
        <f t="shared" si="269"/>
        <v>18.649999999999999</v>
      </c>
      <c r="DG117" s="21">
        <f t="shared" si="270"/>
        <v>18.05</v>
      </c>
      <c r="DH117" s="21">
        <f t="shared" si="263"/>
        <v>18.649999999999999</v>
      </c>
      <c r="DI117" s="21">
        <f t="shared" si="264"/>
        <v>18.05</v>
      </c>
      <c r="DJ117" s="26"/>
      <c r="DK117" s="26"/>
      <c r="DL117" s="26"/>
      <c r="DM117" s="26"/>
      <c r="DN117" s="26"/>
      <c r="DO117" s="26"/>
      <c r="DP117" s="26">
        <f t="shared" si="265"/>
        <v>108.89999999999999</v>
      </c>
      <c r="DQ117" s="21">
        <f t="shared" si="266"/>
        <v>672.64</v>
      </c>
      <c r="DR117" s="21">
        <f t="shared" si="267"/>
        <v>547.36</v>
      </c>
    </row>
    <row r="118" spans="2:123" ht="82.5">
      <c r="B118" s="35">
        <v>42163</v>
      </c>
      <c r="C118" s="47" t="s">
        <v>249</v>
      </c>
      <c r="D118" s="47" t="s">
        <v>321</v>
      </c>
      <c r="E118" s="36" t="s">
        <v>322</v>
      </c>
      <c r="F118" s="49" t="s">
        <v>323</v>
      </c>
      <c r="G118" s="21">
        <v>1220</v>
      </c>
      <c r="H118" s="21">
        <f t="shared" si="198"/>
        <v>122</v>
      </c>
      <c r="I118" s="21">
        <f t="shared" si="199"/>
        <v>1098</v>
      </c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21"/>
      <c r="AZ118" s="48"/>
      <c r="BA118" s="48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>
        <v>0</v>
      </c>
      <c r="BS118" s="21">
        <f t="shared" si="273"/>
        <v>13.24</v>
      </c>
      <c r="BT118" s="21">
        <f t="shared" si="226"/>
        <v>18.649999999999999</v>
      </c>
      <c r="BU118" s="21">
        <f t="shared" si="227"/>
        <v>18.649999999999999</v>
      </c>
      <c r="BV118" s="21">
        <f t="shared" si="228"/>
        <v>18.05</v>
      </c>
      <c r="BW118" s="21">
        <f t="shared" si="229"/>
        <v>18.649999999999999</v>
      </c>
      <c r="BX118" s="21">
        <f t="shared" si="230"/>
        <v>18.05</v>
      </c>
      <c r="BY118" s="21">
        <f t="shared" si="231"/>
        <v>18.649999999999999</v>
      </c>
      <c r="BZ118" s="21">
        <f t="shared" si="232"/>
        <v>123.94</v>
      </c>
      <c r="CA118" s="21">
        <f t="shared" si="233"/>
        <v>123.94</v>
      </c>
      <c r="CB118" s="21">
        <f t="shared" si="234"/>
        <v>18.649999999999999</v>
      </c>
      <c r="CC118" s="21">
        <f t="shared" si="235"/>
        <v>17.45</v>
      </c>
      <c r="CD118" s="21">
        <f t="shared" si="236"/>
        <v>18.649999999999999</v>
      </c>
      <c r="CE118" s="21">
        <f t="shared" si="237"/>
        <v>18.05</v>
      </c>
      <c r="CF118" s="21">
        <f t="shared" si="238"/>
        <v>18.649999999999999</v>
      </c>
      <c r="CG118" s="21">
        <f t="shared" si="239"/>
        <v>18.05</v>
      </c>
      <c r="CH118" s="21">
        <f t="shared" si="240"/>
        <v>18.649999999999999</v>
      </c>
      <c r="CI118" s="21">
        <f t="shared" si="241"/>
        <v>18.649999999999999</v>
      </c>
      <c r="CJ118" s="21">
        <f t="shared" si="242"/>
        <v>18.05</v>
      </c>
      <c r="CK118" s="21">
        <f t="shared" si="243"/>
        <v>18.649999999999999</v>
      </c>
      <c r="CL118" s="21">
        <f t="shared" si="244"/>
        <v>18.05</v>
      </c>
      <c r="CM118" s="21">
        <f t="shared" si="245"/>
        <v>18.649999999999999</v>
      </c>
      <c r="CN118" s="21">
        <f t="shared" si="246"/>
        <v>220.20000000000002</v>
      </c>
      <c r="CO118" s="26">
        <f t="shared" si="247"/>
        <v>344.14</v>
      </c>
      <c r="CP118" s="21">
        <f t="shared" si="248"/>
        <v>18.649999999999999</v>
      </c>
      <c r="CQ118" s="21">
        <f t="shared" si="249"/>
        <v>16.850000000000001</v>
      </c>
      <c r="CR118" s="21">
        <f t="shared" si="250"/>
        <v>18.649999999999999</v>
      </c>
      <c r="CS118" s="21">
        <f t="shared" si="251"/>
        <v>18.05</v>
      </c>
      <c r="CT118" s="27">
        <f t="shared" si="252"/>
        <v>18.649999999999999</v>
      </c>
      <c r="CU118" s="21">
        <f t="shared" si="253"/>
        <v>18.05</v>
      </c>
      <c r="CV118" s="21">
        <f t="shared" si="254"/>
        <v>18.649999999999999</v>
      </c>
      <c r="CW118" s="21">
        <f t="shared" si="255"/>
        <v>18.649999999999999</v>
      </c>
      <c r="CX118" s="21">
        <f t="shared" si="256"/>
        <v>18.05</v>
      </c>
      <c r="CY118" s="21">
        <f t="shared" si="257"/>
        <v>18.649999999999999</v>
      </c>
      <c r="CZ118" s="21">
        <f t="shared" si="258"/>
        <v>18.05</v>
      </c>
      <c r="DA118" s="21">
        <f t="shared" si="259"/>
        <v>18.649999999999999</v>
      </c>
      <c r="DB118" s="26">
        <f t="shared" ref="DB118:DB149" si="274">SUM(CP118:DA118)</f>
        <v>219.60000000000002</v>
      </c>
      <c r="DC118" s="26">
        <f t="shared" si="261"/>
        <v>563.74</v>
      </c>
      <c r="DD118" s="21">
        <f t="shared" si="262"/>
        <v>18.649999999999999</v>
      </c>
      <c r="DE118" s="21">
        <f t="shared" si="268"/>
        <v>16.850000000000001</v>
      </c>
      <c r="DF118" s="21">
        <f t="shared" si="269"/>
        <v>18.649999999999999</v>
      </c>
      <c r="DG118" s="21">
        <f t="shared" si="270"/>
        <v>18.05</v>
      </c>
      <c r="DH118" s="21">
        <f t="shared" si="263"/>
        <v>18.649999999999999</v>
      </c>
      <c r="DI118" s="21">
        <f t="shared" si="264"/>
        <v>18.05</v>
      </c>
      <c r="DJ118" s="26"/>
      <c r="DK118" s="26"/>
      <c r="DL118" s="26"/>
      <c r="DM118" s="26"/>
      <c r="DN118" s="26"/>
      <c r="DO118" s="26"/>
      <c r="DP118" s="26">
        <f t="shared" ref="DP118:DP168" si="275">SUM(DD118:DO118)</f>
        <v>108.89999999999999</v>
      </c>
      <c r="DQ118" s="21">
        <f t="shared" si="266"/>
        <v>672.64</v>
      </c>
      <c r="DR118" s="21">
        <f t="shared" si="267"/>
        <v>547.36</v>
      </c>
    </row>
    <row r="119" spans="2:123" ht="82.5">
      <c r="B119" s="35">
        <v>42163</v>
      </c>
      <c r="C119" s="47" t="s">
        <v>249</v>
      </c>
      <c r="D119" s="47" t="s">
        <v>324</v>
      </c>
      <c r="E119" s="36" t="s">
        <v>145</v>
      </c>
      <c r="F119" s="49" t="s">
        <v>325</v>
      </c>
      <c r="G119" s="21">
        <v>1220</v>
      </c>
      <c r="H119" s="21">
        <f t="shared" si="198"/>
        <v>122</v>
      </c>
      <c r="I119" s="21">
        <f t="shared" si="199"/>
        <v>1098</v>
      </c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21"/>
      <c r="AZ119" s="48"/>
      <c r="BA119" s="48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>
        <v>0</v>
      </c>
      <c r="BS119" s="21">
        <f t="shared" si="273"/>
        <v>13.24</v>
      </c>
      <c r="BT119" s="21">
        <f t="shared" si="226"/>
        <v>18.649999999999999</v>
      </c>
      <c r="BU119" s="21">
        <f t="shared" si="227"/>
        <v>18.649999999999999</v>
      </c>
      <c r="BV119" s="21">
        <f t="shared" si="228"/>
        <v>18.05</v>
      </c>
      <c r="BW119" s="21">
        <f t="shared" si="229"/>
        <v>18.649999999999999</v>
      </c>
      <c r="BX119" s="21">
        <f t="shared" si="230"/>
        <v>18.05</v>
      </c>
      <c r="BY119" s="21">
        <f t="shared" si="231"/>
        <v>18.649999999999999</v>
      </c>
      <c r="BZ119" s="21">
        <f t="shared" si="232"/>
        <v>123.94</v>
      </c>
      <c r="CA119" s="21">
        <f t="shared" si="233"/>
        <v>123.94</v>
      </c>
      <c r="CB119" s="21">
        <f t="shared" si="234"/>
        <v>18.649999999999999</v>
      </c>
      <c r="CC119" s="21">
        <f t="shared" si="235"/>
        <v>17.45</v>
      </c>
      <c r="CD119" s="21">
        <f t="shared" si="236"/>
        <v>18.649999999999999</v>
      </c>
      <c r="CE119" s="21">
        <f t="shared" si="237"/>
        <v>18.05</v>
      </c>
      <c r="CF119" s="21">
        <f t="shared" si="238"/>
        <v>18.649999999999999</v>
      </c>
      <c r="CG119" s="21">
        <f t="shared" si="239"/>
        <v>18.05</v>
      </c>
      <c r="CH119" s="21">
        <f t="shared" si="240"/>
        <v>18.649999999999999</v>
      </c>
      <c r="CI119" s="21">
        <f t="shared" si="241"/>
        <v>18.649999999999999</v>
      </c>
      <c r="CJ119" s="21">
        <f t="shared" si="242"/>
        <v>18.05</v>
      </c>
      <c r="CK119" s="21">
        <f t="shared" si="243"/>
        <v>18.649999999999999</v>
      </c>
      <c r="CL119" s="21">
        <f t="shared" si="244"/>
        <v>18.05</v>
      </c>
      <c r="CM119" s="21">
        <f t="shared" si="245"/>
        <v>18.649999999999999</v>
      </c>
      <c r="CN119" s="21">
        <f t="shared" si="246"/>
        <v>220.20000000000002</v>
      </c>
      <c r="CO119" s="26">
        <f t="shared" si="247"/>
        <v>344.14</v>
      </c>
      <c r="CP119" s="21">
        <f t="shared" si="248"/>
        <v>18.649999999999999</v>
      </c>
      <c r="CQ119" s="21">
        <f t="shared" si="249"/>
        <v>16.850000000000001</v>
      </c>
      <c r="CR119" s="21">
        <f t="shared" si="250"/>
        <v>18.649999999999999</v>
      </c>
      <c r="CS119" s="21">
        <f t="shared" si="251"/>
        <v>18.05</v>
      </c>
      <c r="CT119" s="27">
        <f t="shared" si="252"/>
        <v>18.649999999999999</v>
      </c>
      <c r="CU119" s="21">
        <f t="shared" si="253"/>
        <v>18.05</v>
      </c>
      <c r="CV119" s="21">
        <f t="shared" si="254"/>
        <v>18.649999999999999</v>
      </c>
      <c r="CW119" s="21">
        <f t="shared" si="255"/>
        <v>18.649999999999999</v>
      </c>
      <c r="CX119" s="21">
        <f t="shared" si="256"/>
        <v>18.05</v>
      </c>
      <c r="CY119" s="21">
        <f t="shared" si="257"/>
        <v>18.649999999999999</v>
      </c>
      <c r="CZ119" s="21">
        <f t="shared" si="258"/>
        <v>18.05</v>
      </c>
      <c r="DA119" s="21">
        <f t="shared" si="259"/>
        <v>18.649999999999999</v>
      </c>
      <c r="DB119" s="26">
        <f t="shared" si="274"/>
        <v>219.60000000000002</v>
      </c>
      <c r="DC119" s="26">
        <f t="shared" si="261"/>
        <v>563.74</v>
      </c>
      <c r="DD119" s="21">
        <f t="shared" si="262"/>
        <v>18.649999999999999</v>
      </c>
      <c r="DE119" s="21">
        <f t="shared" si="268"/>
        <v>16.850000000000001</v>
      </c>
      <c r="DF119" s="21">
        <f t="shared" si="269"/>
        <v>18.649999999999999</v>
      </c>
      <c r="DG119" s="21">
        <f t="shared" si="270"/>
        <v>18.05</v>
      </c>
      <c r="DH119" s="21">
        <f t="shared" si="263"/>
        <v>18.649999999999999</v>
      </c>
      <c r="DI119" s="21">
        <f t="shared" si="264"/>
        <v>18.05</v>
      </c>
      <c r="DJ119" s="26"/>
      <c r="DK119" s="26"/>
      <c r="DL119" s="26"/>
      <c r="DM119" s="26"/>
      <c r="DN119" s="26"/>
      <c r="DO119" s="26"/>
      <c r="DP119" s="26">
        <f t="shared" si="275"/>
        <v>108.89999999999999</v>
      </c>
      <c r="DQ119" s="21">
        <f t="shared" si="266"/>
        <v>672.64</v>
      </c>
      <c r="DR119" s="21">
        <f t="shared" si="267"/>
        <v>547.36</v>
      </c>
    </row>
    <row r="120" spans="2:123" ht="82.5">
      <c r="B120" s="35">
        <v>42163</v>
      </c>
      <c r="C120" s="47" t="s">
        <v>249</v>
      </c>
      <c r="D120" s="47" t="s">
        <v>326</v>
      </c>
      <c r="E120" s="36" t="s">
        <v>294</v>
      </c>
      <c r="F120" s="49" t="s">
        <v>327</v>
      </c>
      <c r="G120" s="21">
        <v>1220</v>
      </c>
      <c r="H120" s="21">
        <f t="shared" si="198"/>
        <v>122</v>
      </c>
      <c r="I120" s="21">
        <f t="shared" si="199"/>
        <v>1098</v>
      </c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21"/>
      <c r="AZ120" s="48"/>
      <c r="BA120" s="48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>
        <v>0</v>
      </c>
      <c r="BS120" s="21">
        <f t="shared" si="273"/>
        <v>13.24</v>
      </c>
      <c r="BT120" s="21">
        <f t="shared" si="226"/>
        <v>18.649999999999999</v>
      </c>
      <c r="BU120" s="21">
        <f t="shared" si="227"/>
        <v>18.649999999999999</v>
      </c>
      <c r="BV120" s="21">
        <f t="shared" si="228"/>
        <v>18.05</v>
      </c>
      <c r="BW120" s="21">
        <f t="shared" si="229"/>
        <v>18.649999999999999</v>
      </c>
      <c r="BX120" s="21">
        <f t="shared" si="230"/>
        <v>18.05</v>
      </c>
      <c r="BY120" s="21">
        <f t="shared" si="231"/>
        <v>18.649999999999999</v>
      </c>
      <c r="BZ120" s="21">
        <f t="shared" si="232"/>
        <v>123.94</v>
      </c>
      <c r="CA120" s="21">
        <f t="shared" si="233"/>
        <v>123.94</v>
      </c>
      <c r="CB120" s="21">
        <f t="shared" si="234"/>
        <v>18.649999999999999</v>
      </c>
      <c r="CC120" s="21">
        <f t="shared" si="235"/>
        <v>17.45</v>
      </c>
      <c r="CD120" s="21">
        <f t="shared" si="236"/>
        <v>18.649999999999999</v>
      </c>
      <c r="CE120" s="21">
        <f t="shared" si="237"/>
        <v>18.05</v>
      </c>
      <c r="CF120" s="21">
        <f t="shared" si="238"/>
        <v>18.649999999999999</v>
      </c>
      <c r="CG120" s="21">
        <f t="shared" si="239"/>
        <v>18.05</v>
      </c>
      <c r="CH120" s="21">
        <f t="shared" si="240"/>
        <v>18.649999999999999</v>
      </c>
      <c r="CI120" s="21">
        <f t="shared" si="241"/>
        <v>18.649999999999999</v>
      </c>
      <c r="CJ120" s="21">
        <f t="shared" si="242"/>
        <v>18.05</v>
      </c>
      <c r="CK120" s="21">
        <f t="shared" si="243"/>
        <v>18.649999999999999</v>
      </c>
      <c r="CL120" s="21">
        <f t="shared" si="244"/>
        <v>18.05</v>
      </c>
      <c r="CM120" s="21">
        <f t="shared" si="245"/>
        <v>18.649999999999999</v>
      </c>
      <c r="CN120" s="21">
        <f t="shared" si="246"/>
        <v>220.20000000000002</v>
      </c>
      <c r="CO120" s="26">
        <f t="shared" si="247"/>
        <v>344.14</v>
      </c>
      <c r="CP120" s="21">
        <f t="shared" si="248"/>
        <v>18.649999999999999</v>
      </c>
      <c r="CQ120" s="21">
        <f t="shared" si="249"/>
        <v>16.850000000000001</v>
      </c>
      <c r="CR120" s="21">
        <f t="shared" si="250"/>
        <v>18.649999999999999</v>
      </c>
      <c r="CS120" s="21">
        <f t="shared" si="251"/>
        <v>18.05</v>
      </c>
      <c r="CT120" s="27">
        <f t="shared" si="252"/>
        <v>18.649999999999999</v>
      </c>
      <c r="CU120" s="21">
        <f t="shared" si="253"/>
        <v>18.05</v>
      </c>
      <c r="CV120" s="21">
        <f t="shared" si="254"/>
        <v>18.649999999999999</v>
      </c>
      <c r="CW120" s="21">
        <f t="shared" si="255"/>
        <v>18.649999999999999</v>
      </c>
      <c r="CX120" s="21">
        <f t="shared" si="256"/>
        <v>18.05</v>
      </c>
      <c r="CY120" s="21">
        <f t="shared" si="257"/>
        <v>18.649999999999999</v>
      </c>
      <c r="CZ120" s="21">
        <f t="shared" si="258"/>
        <v>18.05</v>
      </c>
      <c r="DA120" s="21">
        <f t="shared" si="259"/>
        <v>18.649999999999999</v>
      </c>
      <c r="DB120" s="26">
        <f t="shared" si="274"/>
        <v>219.60000000000002</v>
      </c>
      <c r="DC120" s="26">
        <f t="shared" si="261"/>
        <v>563.74</v>
      </c>
      <c r="DD120" s="21">
        <f t="shared" si="262"/>
        <v>18.649999999999999</v>
      </c>
      <c r="DE120" s="21">
        <f t="shared" si="268"/>
        <v>16.850000000000001</v>
      </c>
      <c r="DF120" s="21">
        <f t="shared" si="269"/>
        <v>18.649999999999999</v>
      </c>
      <c r="DG120" s="21">
        <f t="shared" si="270"/>
        <v>18.05</v>
      </c>
      <c r="DH120" s="21">
        <f t="shared" si="263"/>
        <v>18.649999999999999</v>
      </c>
      <c r="DI120" s="21">
        <f t="shared" si="264"/>
        <v>18.05</v>
      </c>
      <c r="DJ120" s="26"/>
      <c r="DK120" s="26"/>
      <c r="DL120" s="26"/>
      <c r="DM120" s="26"/>
      <c r="DN120" s="26"/>
      <c r="DO120" s="26"/>
      <c r="DP120" s="26">
        <f t="shared" si="275"/>
        <v>108.89999999999999</v>
      </c>
      <c r="DQ120" s="21">
        <f t="shared" si="266"/>
        <v>672.64</v>
      </c>
      <c r="DR120" s="21">
        <f t="shared" si="267"/>
        <v>547.36</v>
      </c>
    </row>
    <row r="121" spans="2:123" ht="82.5">
      <c r="B121" s="35">
        <v>42163</v>
      </c>
      <c r="C121" s="47" t="s">
        <v>249</v>
      </c>
      <c r="D121" s="47" t="s">
        <v>328</v>
      </c>
      <c r="E121" s="36" t="s">
        <v>139</v>
      </c>
      <c r="F121" s="49" t="s">
        <v>329</v>
      </c>
      <c r="G121" s="21">
        <v>1220</v>
      </c>
      <c r="H121" s="21">
        <f t="shared" si="198"/>
        <v>122</v>
      </c>
      <c r="I121" s="21">
        <f t="shared" si="199"/>
        <v>1098</v>
      </c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21"/>
      <c r="AZ121" s="48"/>
      <c r="BA121" s="48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>
        <v>0</v>
      </c>
      <c r="BS121" s="21">
        <f t="shared" si="273"/>
        <v>13.24</v>
      </c>
      <c r="BT121" s="21">
        <f t="shared" si="226"/>
        <v>18.649999999999999</v>
      </c>
      <c r="BU121" s="21">
        <f t="shared" si="227"/>
        <v>18.649999999999999</v>
      </c>
      <c r="BV121" s="21">
        <f t="shared" si="228"/>
        <v>18.05</v>
      </c>
      <c r="BW121" s="21">
        <f t="shared" si="229"/>
        <v>18.649999999999999</v>
      </c>
      <c r="BX121" s="21">
        <f t="shared" si="230"/>
        <v>18.05</v>
      </c>
      <c r="BY121" s="21">
        <f t="shared" si="231"/>
        <v>18.649999999999999</v>
      </c>
      <c r="BZ121" s="21">
        <f t="shared" si="232"/>
        <v>123.94</v>
      </c>
      <c r="CA121" s="21">
        <f t="shared" si="233"/>
        <v>123.94</v>
      </c>
      <c r="CB121" s="21">
        <f t="shared" si="234"/>
        <v>18.649999999999999</v>
      </c>
      <c r="CC121" s="21">
        <f t="shared" si="235"/>
        <v>17.45</v>
      </c>
      <c r="CD121" s="21">
        <f t="shared" si="236"/>
        <v>18.649999999999999</v>
      </c>
      <c r="CE121" s="21">
        <f t="shared" si="237"/>
        <v>18.05</v>
      </c>
      <c r="CF121" s="21">
        <f t="shared" si="238"/>
        <v>18.649999999999999</v>
      </c>
      <c r="CG121" s="21">
        <f t="shared" si="239"/>
        <v>18.05</v>
      </c>
      <c r="CH121" s="21">
        <f t="shared" si="240"/>
        <v>18.649999999999999</v>
      </c>
      <c r="CI121" s="21">
        <f t="shared" si="241"/>
        <v>18.649999999999999</v>
      </c>
      <c r="CJ121" s="21">
        <f t="shared" si="242"/>
        <v>18.05</v>
      </c>
      <c r="CK121" s="21">
        <f t="shared" si="243"/>
        <v>18.649999999999999</v>
      </c>
      <c r="CL121" s="21">
        <f t="shared" si="244"/>
        <v>18.05</v>
      </c>
      <c r="CM121" s="21">
        <f t="shared" si="245"/>
        <v>18.649999999999999</v>
      </c>
      <c r="CN121" s="21">
        <f t="shared" si="246"/>
        <v>220.20000000000002</v>
      </c>
      <c r="CO121" s="26">
        <f t="shared" si="247"/>
        <v>344.14</v>
      </c>
      <c r="CP121" s="21">
        <f t="shared" si="248"/>
        <v>18.649999999999999</v>
      </c>
      <c r="CQ121" s="21">
        <f t="shared" si="249"/>
        <v>16.850000000000001</v>
      </c>
      <c r="CR121" s="21">
        <f t="shared" si="250"/>
        <v>18.649999999999999</v>
      </c>
      <c r="CS121" s="21">
        <f t="shared" si="251"/>
        <v>18.05</v>
      </c>
      <c r="CT121" s="27">
        <f t="shared" si="252"/>
        <v>18.649999999999999</v>
      </c>
      <c r="CU121" s="21">
        <f t="shared" si="253"/>
        <v>18.05</v>
      </c>
      <c r="CV121" s="21">
        <f t="shared" si="254"/>
        <v>18.649999999999999</v>
      </c>
      <c r="CW121" s="21">
        <f t="shared" si="255"/>
        <v>18.649999999999999</v>
      </c>
      <c r="CX121" s="21">
        <f t="shared" si="256"/>
        <v>18.05</v>
      </c>
      <c r="CY121" s="21">
        <f t="shared" si="257"/>
        <v>18.649999999999999</v>
      </c>
      <c r="CZ121" s="21">
        <f t="shared" si="258"/>
        <v>18.05</v>
      </c>
      <c r="DA121" s="21">
        <f t="shared" si="259"/>
        <v>18.649999999999999</v>
      </c>
      <c r="DB121" s="26">
        <f t="shared" si="274"/>
        <v>219.60000000000002</v>
      </c>
      <c r="DC121" s="26">
        <f t="shared" si="261"/>
        <v>563.74</v>
      </c>
      <c r="DD121" s="21">
        <f t="shared" si="262"/>
        <v>18.649999999999999</v>
      </c>
      <c r="DE121" s="21">
        <f t="shared" si="268"/>
        <v>16.850000000000001</v>
      </c>
      <c r="DF121" s="21">
        <f t="shared" si="269"/>
        <v>18.649999999999999</v>
      </c>
      <c r="DG121" s="21">
        <f t="shared" si="270"/>
        <v>18.05</v>
      </c>
      <c r="DH121" s="21">
        <f t="shared" si="263"/>
        <v>18.649999999999999</v>
      </c>
      <c r="DI121" s="21">
        <f t="shared" si="264"/>
        <v>18.05</v>
      </c>
      <c r="DJ121" s="26"/>
      <c r="DK121" s="26"/>
      <c r="DL121" s="26"/>
      <c r="DM121" s="26"/>
      <c r="DN121" s="26"/>
      <c r="DO121" s="26"/>
      <c r="DP121" s="26">
        <f t="shared" si="275"/>
        <v>108.89999999999999</v>
      </c>
      <c r="DQ121" s="21">
        <f t="shared" si="266"/>
        <v>672.64</v>
      </c>
      <c r="DR121" s="21">
        <f t="shared" si="267"/>
        <v>547.36</v>
      </c>
    </row>
    <row r="122" spans="2:123" ht="82.5">
      <c r="B122" s="35">
        <v>42163</v>
      </c>
      <c r="C122" s="47" t="s">
        <v>249</v>
      </c>
      <c r="D122" s="47" t="s">
        <v>330</v>
      </c>
      <c r="E122" s="36" t="s">
        <v>220</v>
      </c>
      <c r="F122" s="49" t="s">
        <v>331</v>
      </c>
      <c r="G122" s="21">
        <v>1220</v>
      </c>
      <c r="H122" s="21">
        <f t="shared" si="198"/>
        <v>122</v>
      </c>
      <c r="I122" s="21">
        <f t="shared" si="199"/>
        <v>1098</v>
      </c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21"/>
      <c r="AZ122" s="48"/>
      <c r="BA122" s="48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>
        <v>0</v>
      </c>
      <c r="BS122" s="21">
        <f t="shared" si="273"/>
        <v>13.24</v>
      </c>
      <c r="BT122" s="21">
        <f t="shared" si="226"/>
        <v>18.649999999999999</v>
      </c>
      <c r="BU122" s="21">
        <f t="shared" si="227"/>
        <v>18.649999999999999</v>
      </c>
      <c r="BV122" s="21">
        <f t="shared" si="228"/>
        <v>18.05</v>
      </c>
      <c r="BW122" s="21">
        <f t="shared" si="229"/>
        <v>18.649999999999999</v>
      </c>
      <c r="BX122" s="21">
        <f t="shared" si="230"/>
        <v>18.05</v>
      </c>
      <c r="BY122" s="21">
        <f t="shared" si="231"/>
        <v>18.649999999999999</v>
      </c>
      <c r="BZ122" s="21">
        <f t="shared" si="232"/>
        <v>123.94</v>
      </c>
      <c r="CA122" s="21">
        <f t="shared" si="233"/>
        <v>123.94</v>
      </c>
      <c r="CB122" s="21">
        <f t="shared" si="234"/>
        <v>18.649999999999999</v>
      </c>
      <c r="CC122" s="21">
        <f t="shared" si="235"/>
        <v>17.45</v>
      </c>
      <c r="CD122" s="21">
        <f t="shared" si="236"/>
        <v>18.649999999999999</v>
      </c>
      <c r="CE122" s="21">
        <f t="shared" si="237"/>
        <v>18.05</v>
      </c>
      <c r="CF122" s="21">
        <f t="shared" si="238"/>
        <v>18.649999999999999</v>
      </c>
      <c r="CG122" s="21">
        <f t="shared" si="239"/>
        <v>18.05</v>
      </c>
      <c r="CH122" s="21">
        <f t="shared" si="240"/>
        <v>18.649999999999999</v>
      </c>
      <c r="CI122" s="21">
        <f t="shared" si="241"/>
        <v>18.649999999999999</v>
      </c>
      <c r="CJ122" s="21">
        <f t="shared" si="242"/>
        <v>18.05</v>
      </c>
      <c r="CK122" s="21">
        <f t="shared" si="243"/>
        <v>18.649999999999999</v>
      </c>
      <c r="CL122" s="21">
        <f t="shared" si="244"/>
        <v>18.05</v>
      </c>
      <c r="CM122" s="21">
        <f t="shared" si="245"/>
        <v>18.649999999999999</v>
      </c>
      <c r="CN122" s="21">
        <f t="shared" si="246"/>
        <v>220.20000000000002</v>
      </c>
      <c r="CO122" s="26">
        <f t="shared" si="247"/>
        <v>344.14</v>
      </c>
      <c r="CP122" s="21">
        <f t="shared" si="248"/>
        <v>18.649999999999999</v>
      </c>
      <c r="CQ122" s="21">
        <f t="shared" si="249"/>
        <v>16.850000000000001</v>
      </c>
      <c r="CR122" s="21">
        <f t="shared" si="250"/>
        <v>18.649999999999999</v>
      </c>
      <c r="CS122" s="21">
        <f t="shared" si="251"/>
        <v>18.05</v>
      </c>
      <c r="CT122" s="27">
        <f t="shared" si="252"/>
        <v>18.649999999999999</v>
      </c>
      <c r="CU122" s="21">
        <f t="shared" si="253"/>
        <v>18.05</v>
      </c>
      <c r="CV122" s="21">
        <f t="shared" si="254"/>
        <v>18.649999999999999</v>
      </c>
      <c r="CW122" s="21">
        <f t="shared" si="255"/>
        <v>18.649999999999999</v>
      </c>
      <c r="CX122" s="21">
        <f t="shared" si="256"/>
        <v>18.05</v>
      </c>
      <c r="CY122" s="21">
        <f t="shared" si="257"/>
        <v>18.649999999999999</v>
      </c>
      <c r="CZ122" s="21">
        <f t="shared" si="258"/>
        <v>18.05</v>
      </c>
      <c r="DA122" s="21">
        <f t="shared" si="259"/>
        <v>18.649999999999999</v>
      </c>
      <c r="DB122" s="26">
        <f t="shared" si="274"/>
        <v>219.60000000000002</v>
      </c>
      <c r="DC122" s="26">
        <f t="shared" si="261"/>
        <v>563.74</v>
      </c>
      <c r="DD122" s="21">
        <f t="shared" si="262"/>
        <v>18.649999999999999</v>
      </c>
      <c r="DE122" s="21">
        <f t="shared" si="268"/>
        <v>16.850000000000001</v>
      </c>
      <c r="DF122" s="21">
        <f t="shared" si="269"/>
        <v>18.649999999999999</v>
      </c>
      <c r="DG122" s="21">
        <f t="shared" si="270"/>
        <v>18.05</v>
      </c>
      <c r="DH122" s="21">
        <f t="shared" si="263"/>
        <v>18.649999999999999</v>
      </c>
      <c r="DI122" s="21">
        <f t="shared" si="264"/>
        <v>18.05</v>
      </c>
      <c r="DJ122" s="26"/>
      <c r="DK122" s="26"/>
      <c r="DL122" s="26"/>
      <c r="DM122" s="26"/>
      <c r="DN122" s="26"/>
      <c r="DO122" s="26"/>
      <c r="DP122" s="26">
        <f t="shared" si="275"/>
        <v>108.89999999999999</v>
      </c>
      <c r="DQ122" s="21">
        <f t="shared" si="266"/>
        <v>672.64</v>
      </c>
      <c r="DR122" s="21">
        <f t="shared" si="267"/>
        <v>547.36</v>
      </c>
    </row>
    <row r="123" spans="2:123" ht="8.25">
      <c r="B123" s="35">
        <v>42270</v>
      </c>
      <c r="C123" s="36" t="s">
        <v>266</v>
      </c>
      <c r="D123" s="47" t="s">
        <v>332</v>
      </c>
      <c r="E123" s="47" t="s">
        <v>306</v>
      </c>
      <c r="F123" s="47" t="s">
        <v>333</v>
      </c>
      <c r="G123" s="21">
        <v>847.5</v>
      </c>
      <c r="H123" s="21">
        <f t="shared" si="198"/>
        <v>84.75</v>
      </c>
      <c r="I123" s="21">
        <f t="shared" si="199"/>
        <v>762.75</v>
      </c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21"/>
      <c r="AZ123" s="48"/>
      <c r="BA123" s="48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>
        <f>ROUND((I123/5/365*7),2)</f>
        <v>2.93</v>
      </c>
      <c r="BW123" s="21">
        <f t="shared" si="229"/>
        <v>12.96</v>
      </c>
      <c r="BX123" s="21">
        <f t="shared" si="230"/>
        <v>12.54</v>
      </c>
      <c r="BY123" s="21">
        <f t="shared" si="231"/>
        <v>12.96</v>
      </c>
      <c r="BZ123" s="21">
        <f t="shared" si="232"/>
        <v>41.39</v>
      </c>
      <c r="CA123" s="21">
        <f t="shared" si="233"/>
        <v>41.39</v>
      </c>
      <c r="CB123" s="21">
        <f t="shared" si="234"/>
        <v>12.96</v>
      </c>
      <c r="CC123" s="21">
        <f t="shared" si="235"/>
        <v>12.12</v>
      </c>
      <c r="CD123" s="21">
        <f t="shared" si="236"/>
        <v>12.96</v>
      </c>
      <c r="CE123" s="21">
        <f t="shared" si="237"/>
        <v>12.54</v>
      </c>
      <c r="CF123" s="21">
        <f t="shared" si="238"/>
        <v>12.96</v>
      </c>
      <c r="CG123" s="21">
        <f t="shared" si="239"/>
        <v>12.54</v>
      </c>
      <c r="CH123" s="21">
        <f t="shared" si="240"/>
        <v>12.96</v>
      </c>
      <c r="CI123" s="21">
        <f t="shared" si="241"/>
        <v>12.96</v>
      </c>
      <c r="CJ123" s="21">
        <f t="shared" si="242"/>
        <v>12.54</v>
      </c>
      <c r="CK123" s="21">
        <f t="shared" si="243"/>
        <v>12.96</v>
      </c>
      <c r="CL123" s="21">
        <f t="shared" si="244"/>
        <v>12.54</v>
      </c>
      <c r="CM123" s="21">
        <f t="shared" si="245"/>
        <v>12.96</v>
      </c>
      <c r="CN123" s="21">
        <f t="shared" si="246"/>
        <v>153</v>
      </c>
      <c r="CO123" s="26">
        <f t="shared" si="247"/>
        <v>194.39</v>
      </c>
      <c r="CP123" s="21">
        <f t="shared" si="248"/>
        <v>12.96</v>
      </c>
      <c r="CQ123" s="21">
        <f t="shared" si="249"/>
        <v>11.7</v>
      </c>
      <c r="CR123" s="21">
        <f t="shared" si="250"/>
        <v>12.96</v>
      </c>
      <c r="CS123" s="21">
        <f t="shared" si="251"/>
        <v>12.54</v>
      </c>
      <c r="CT123" s="27">
        <f t="shared" si="252"/>
        <v>12.96</v>
      </c>
      <c r="CU123" s="21">
        <f t="shared" si="253"/>
        <v>12.54</v>
      </c>
      <c r="CV123" s="21">
        <f t="shared" si="254"/>
        <v>12.96</v>
      </c>
      <c r="CW123" s="21">
        <f t="shared" si="255"/>
        <v>12.96</v>
      </c>
      <c r="CX123" s="21">
        <f t="shared" si="256"/>
        <v>12.54</v>
      </c>
      <c r="CY123" s="21">
        <f t="shared" si="257"/>
        <v>12.96</v>
      </c>
      <c r="CZ123" s="21">
        <f t="shared" si="258"/>
        <v>12.54</v>
      </c>
      <c r="DA123" s="21">
        <f t="shared" si="259"/>
        <v>12.96</v>
      </c>
      <c r="DB123" s="26">
        <f t="shared" si="274"/>
        <v>152.58000000000001</v>
      </c>
      <c r="DC123" s="26">
        <f t="shared" si="261"/>
        <v>346.97</v>
      </c>
      <c r="DD123" s="21">
        <f t="shared" si="262"/>
        <v>12.96</v>
      </c>
      <c r="DE123" s="21">
        <f t="shared" si="268"/>
        <v>11.7</v>
      </c>
      <c r="DF123" s="21">
        <f t="shared" si="269"/>
        <v>12.96</v>
      </c>
      <c r="DG123" s="21">
        <f t="shared" si="270"/>
        <v>12.54</v>
      </c>
      <c r="DH123" s="21">
        <f t="shared" si="263"/>
        <v>12.96</v>
      </c>
      <c r="DI123" s="21">
        <f t="shared" si="264"/>
        <v>12.54</v>
      </c>
      <c r="DJ123" s="26"/>
      <c r="DK123" s="26"/>
      <c r="DL123" s="26"/>
      <c r="DM123" s="26"/>
      <c r="DN123" s="26"/>
      <c r="DO123" s="26"/>
      <c r="DP123" s="26">
        <f t="shared" si="275"/>
        <v>75.66</v>
      </c>
      <c r="DQ123" s="21">
        <f t="shared" si="266"/>
        <v>422.63</v>
      </c>
      <c r="DR123" s="21">
        <f t="shared" si="267"/>
        <v>424.87</v>
      </c>
    </row>
    <row r="124" spans="2:123" ht="8.25">
      <c r="B124" s="35">
        <v>42270</v>
      </c>
      <c r="C124" s="36" t="s">
        <v>266</v>
      </c>
      <c r="D124" s="47" t="s">
        <v>334</v>
      </c>
      <c r="E124" s="47" t="s">
        <v>319</v>
      </c>
      <c r="F124" s="47" t="s">
        <v>335</v>
      </c>
      <c r="G124" s="21">
        <v>847.5</v>
      </c>
      <c r="H124" s="21">
        <f t="shared" si="198"/>
        <v>84.75</v>
      </c>
      <c r="I124" s="21">
        <f t="shared" si="199"/>
        <v>762.75</v>
      </c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21"/>
      <c r="AZ124" s="48"/>
      <c r="BA124" s="48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>
        <f>ROUND((I124/5/365*7),2)</f>
        <v>2.93</v>
      </c>
      <c r="BW124" s="21">
        <f t="shared" si="229"/>
        <v>12.96</v>
      </c>
      <c r="BX124" s="21">
        <f t="shared" si="230"/>
        <v>12.54</v>
      </c>
      <c r="BY124" s="21">
        <f t="shared" si="231"/>
        <v>12.96</v>
      </c>
      <c r="BZ124" s="21">
        <f t="shared" si="232"/>
        <v>41.39</v>
      </c>
      <c r="CA124" s="21">
        <f t="shared" si="233"/>
        <v>41.39</v>
      </c>
      <c r="CB124" s="21">
        <f t="shared" si="234"/>
        <v>12.96</v>
      </c>
      <c r="CC124" s="21">
        <f t="shared" si="235"/>
        <v>12.12</v>
      </c>
      <c r="CD124" s="21">
        <f t="shared" si="236"/>
        <v>12.96</v>
      </c>
      <c r="CE124" s="21">
        <f t="shared" si="237"/>
        <v>12.54</v>
      </c>
      <c r="CF124" s="21">
        <f t="shared" si="238"/>
        <v>12.96</v>
      </c>
      <c r="CG124" s="21">
        <f t="shared" si="239"/>
        <v>12.54</v>
      </c>
      <c r="CH124" s="21">
        <f t="shared" si="240"/>
        <v>12.96</v>
      </c>
      <c r="CI124" s="21">
        <f t="shared" si="241"/>
        <v>12.96</v>
      </c>
      <c r="CJ124" s="21">
        <f t="shared" si="242"/>
        <v>12.54</v>
      </c>
      <c r="CK124" s="21">
        <f t="shared" si="243"/>
        <v>12.96</v>
      </c>
      <c r="CL124" s="21">
        <f t="shared" si="244"/>
        <v>12.54</v>
      </c>
      <c r="CM124" s="21">
        <f t="shared" si="245"/>
        <v>12.96</v>
      </c>
      <c r="CN124" s="21">
        <f t="shared" si="246"/>
        <v>153</v>
      </c>
      <c r="CO124" s="26">
        <f t="shared" si="247"/>
        <v>194.39</v>
      </c>
      <c r="CP124" s="21">
        <f t="shared" si="248"/>
        <v>12.96</v>
      </c>
      <c r="CQ124" s="21">
        <f t="shared" si="249"/>
        <v>11.7</v>
      </c>
      <c r="CR124" s="21">
        <f t="shared" si="250"/>
        <v>12.96</v>
      </c>
      <c r="CS124" s="21">
        <f t="shared" si="251"/>
        <v>12.54</v>
      </c>
      <c r="CT124" s="27">
        <f t="shared" si="252"/>
        <v>12.96</v>
      </c>
      <c r="CU124" s="21">
        <f t="shared" si="253"/>
        <v>12.54</v>
      </c>
      <c r="CV124" s="21">
        <f t="shared" si="254"/>
        <v>12.96</v>
      </c>
      <c r="CW124" s="21">
        <f t="shared" si="255"/>
        <v>12.96</v>
      </c>
      <c r="CX124" s="21">
        <f t="shared" si="256"/>
        <v>12.54</v>
      </c>
      <c r="CY124" s="21">
        <f t="shared" si="257"/>
        <v>12.96</v>
      </c>
      <c r="CZ124" s="21">
        <f t="shared" si="258"/>
        <v>12.54</v>
      </c>
      <c r="DA124" s="21">
        <f t="shared" si="259"/>
        <v>12.96</v>
      </c>
      <c r="DB124" s="26">
        <f t="shared" si="274"/>
        <v>152.58000000000001</v>
      </c>
      <c r="DC124" s="26">
        <f t="shared" si="261"/>
        <v>346.97</v>
      </c>
      <c r="DD124" s="21">
        <f t="shared" si="262"/>
        <v>12.96</v>
      </c>
      <c r="DE124" s="21">
        <f t="shared" si="268"/>
        <v>11.7</v>
      </c>
      <c r="DF124" s="21">
        <f t="shared" si="269"/>
        <v>12.96</v>
      </c>
      <c r="DG124" s="21">
        <f t="shared" si="270"/>
        <v>12.54</v>
      </c>
      <c r="DH124" s="21">
        <f t="shared" si="263"/>
        <v>12.96</v>
      </c>
      <c r="DI124" s="21">
        <f t="shared" si="264"/>
        <v>12.54</v>
      </c>
      <c r="DJ124" s="26"/>
      <c r="DK124" s="26"/>
      <c r="DL124" s="26"/>
      <c r="DM124" s="26"/>
      <c r="DN124" s="26"/>
      <c r="DO124" s="26"/>
      <c r="DP124" s="26">
        <f t="shared" si="275"/>
        <v>75.66</v>
      </c>
      <c r="DQ124" s="21">
        <f t="shared" si="266"/>
        <v>422.63</v>
      </c>
      <c r="DR124" s="21">
        <f t="shared" si="267"/>
        <v>424.87</v>
      </c>
    </row>
    <row r="125" spans="2:123" ht="8.25">
      <c r="B125" s="35">
        <v>42270</v>
      </c>
      <c r="C125" s="36" t="s">
        <v>266</v>
      </c>
      <c r="D125" s="47" t="s">
        <v>336</v>
      </c>
      <c r="E125" s="47" t="s">
        <v>142</v>
      </c>
      <c r="F125" s="47" t="s">
        <v>337</v>
      </c>
      <c r="G125" s="21">
        <v>847.5</v>
      </c>
      <c r="H125" s="21">
        <f t="shared" si="198"/>
        <v>84.75</v>
      </c>
      <c r="I125" s="21">
        <f t="shared" si="199"/>
        <v>762.75</v>
      </c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21"/>
      <c r="AZ125" s="48"/>
      <c r="BA125" s="48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>
        <f>ROUND((I125/5/365*7),2)</f>
        <v>2.93</v>
      </c>
      <c r="BW125" s="21">
        <f t="shared" si="229"/>
        <v>12.96</v>
      </c>
      <c r="BX125" s="21">
        <f t="shared" si="230"/>
        <v>12.54</v>
      </c>
      <c r="BY125" s="21">
        <f t="shared" si="231"/>
        <v>12.96</v>
      </c>
      <c r="BZ125" s="21">
        <f t="shared" si="232"/>
        <v>41.39</v>
      </c>
      <c r="CA125" s="21">
        <f t="shared" si="233"/>
        <v>41.39</v>
      </c>
      <c r="CB125" s="21">
        <f t="shared" si="234"/>
        <v>12.96</v>
      </c>
      <c r="CC125" s="21">
        <f t="shared" si="235"/>
        <v>12.12</v>
      </c>
      <c r="CD125" s="21">
        <f t="shared" si="236"/>
        <v>12.96</v>
      </c>
      <c r="CE125" s="21">
        <f t="shared" si="237"/>
        <v>12.54</v>
      </c>
      <c r="CF125" s="21">
        <f t="shared" si="238"/>
        <v>12.96</v>
      </c>
      <c r="CG125" s="21">
        <f t="shared" si="239"/>
        <v>12.54</v>
      </c>
      <c r="CH125" s="21">
        <f t="shared" si="240"/>
        <v>12.96</v>
      </c>
      <c r="CI125" s="21">
        <f t="shared" si="241"/>
        <v>12.96</v>
      </c>
      <c r="CJ125" s="21">
        <f t="shared" si="242"/>
        <v>12.54</v>
      </c>
      <c r="CK125" s="21">
        <f t="shared" si="243"/>
        <v>12.96</v>
      </c>
      <c r="CL125" s="21">
        <f t="shared" si="244"/>
        <v>12.54</v>
      </c>
      <c r="CM125" s="21">
        <f t="shared" si="245"/>
        <v>12.96</v>
      </c>
      <c r="CN125" s="21">
        <f t="shared" si="246"/>
        <v>153</v>
      </c>
      <c r="CO125" s="26">
        <f t="shared" si="247"/>
        <v>194.39</v>
      </c>
      <c r="CP125" s="21">
        <f t="shared" si="248"/>
        <v>12.96</v>
      </c>
      <c r="CQ125" s="21">
        <f t="shared" si="249"/>
        <v>11.7</v>
      </c>
      <c r="CR125" s="21">
        <f t="shared" si="250"/>
        <v>12.96</v>
      </c>
      <c r="CS125" s="21">
        <f t="shared" si="251"/>
        <v>12.54</v>
      </c>
      <c r="CT125" s="27">
        <f t="shared" si="252"/>
        <v>12.96</v>
      </c>
      <c r="CU125" s="21">
        <f t="shared" si="253"/>
        <v>12.54</v>
      </c>
      <c r="CV125" s="21">
        <f t="shared" si="254"/>
        <v>12.96</v>
      </c>
      <c r="CW125" s="21">
        <f t="shared" si="255"/>
        <v>12.96</v>
      </c>
      <c r="CX125" s="21">
        <f t="shared" si="256"/>
        <v>12.54</v>
      </c>
      <c r="CY125" s="21">
        <f t="shared" si="257"/>
        <v>12.96</v>
      </c>
      <c r="CZ125" s="21">
        <f t="shared" si="258"/>
        <v>12.54</v>
      </c>
      <c r="DA125" s="21">
        <f t="shared" si="259"/>
        <v>12.96</v>
      </c>
      <c r="DB125" s="26">
        <f t="shared" si="274"/>
        <v>152.58000000000001</v>
      </c>
      <c r="DC125" s="26">
        <f t="shared" si="261"/>
        <v>346.97</v>
      </c>
      <c r="DD125" s="21">
        <f t="shared" si="262"/>
        <v>12.96</v>
      </c>
      <c r="DE125" s="21">
        <f t="shared" si="268"/>
        <v>11.7</v>
      </c>
      <c r="DF125" s="21">
        <f t="shared" si="269"/>
        <v>12.96</v>
      </c>
      <c r="DG125" s="21">
        <f t="shared" si="270"/>
        <v>12.54</v>
      </c>
      <c r="DH125" s="21">
        <f t="shared" si="263"/>
        <v>12.96</v>
      </c>
      <c r="DI125" s="21">
        <f t="shared" si="264"/>
        <v>12.54</v>
      </c>
      <c r="DJ125" s="26"/>
      <c r="DK125" s="26"/>
      <c r="DL125" s="26"/>
      <c r="DM125" s="26"/>
      <c r="DN125" s="26"/>
      <c r="DO125" s="26"/>
      <c r="DP125" s="26">
        <f t="shared" si="275"/>
        <v>75.66</v>
      </c>
      <c r="DQ125" s="21">
        <f t="shared" si="266"/>
        <v>422.63</v>
      </c>
      <c r="DR125" s="21">
        <f t="shared" si="267"/>
        <v>424.87</v>
      </c>
      <c r="DS125" s="65"/>
    </row>
    <row r="126" spans="2:123" ht="8.25">
      <c r="B126" s="35">
        <v>42311</v>
      </c>
      <c r="C126" s="36" t="s">
        <v>338</v>
      </c>
      <c r="D126" s="47" t="s">
        <v>339</v>
      </c>
      <c r="E126" s="36" t="s">
        <v>121</v>
      </c>
      <c r="F126" s="47" t="s">
        <v>340</v>
      </c>
      <c r="G126" s="40">
        <v>865</v>
      </c>
      <c r="H126" s="21">
        <f t="shared" si="198"/>
        <v>86.5</v>
      </c>
      <c r="I126" s="21">
        <f t="shared" si="199"/>
        <v>778.5</v>
      </c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21"/>
      <c r="AZ126" s="48"/>
      <c r="BA126" s="48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>
        <v>0</v>
      </c>
      <c r="BX126" s="21">
        <f>ROUND((I126/5/365*27),2)</f>
        <v>11.52</v>
      </c>
      <c r="BY126" s="21">
        <f t="shared" si="231"/>
        <v>13.22</v>
      </c>
      <c r="BZ126" s="21">
        <f t="shared" si="232"/>
        <v>24.740000000000002</v>
      </c>
      <c r="CA126" s="21">
        <f t="shared" si="233"/>
        <v>24.74</v>
      </c>
      <c r="CB126" s="21">
        <f t="shared" si="234"/>
        <v>13.22</v>
      </c>
      <c r="CC126" s="21">
        <f t="shared" si="235"/>
        <v>12.37</v>
      </c>
      <c r="CD126" s="21">
        <f t="shared" si="236"/>
        <v>13.22</v>
      </c>
      <c r="CE126" s="21">
        <f t="shared" si="237"/>
        <v>12.8</v>
      </c>
      <c r="CF126" s="21">
        <f t="shared" si="238"/>
        <v>13.22</v>
      </c>
      <c r="CG126" s="21">
        <f t="shared" si="239"/>
        <v>12.8</v>
      </c>
      <c r="CH126" s="21">
        <f t="shared" si="240"/>
        <v>13.22</v>
      </c>
      <c r="CI126" s="21">
        <f t="shared" si="241"/>
        <v>13.22</v>
      </c>
      <c r="CJ126" s="21">
        <f t="shared" si="242"/>
        <v>12.8</v>
      </c>
      <c r="CK126" s="21">
        <f t="shared" si="243"/>
        <v>13.22</v>
      </c>
      <c r="CL126" s="21">
        <f t="shared" si="244"/>
        <v>12.8</v>
      </c>
      <c r="CM126" s="21">
        <f t="shared" si="245"/>
        <v>13.22</v>
      </c>
      <c r="CN126" s="21">
        <f t="shared" si="246"/>
        <v>156.11000000000001</v>
      </c>
      <c r="CO126" s="26">
        <f t="shared" si="247"/>
        <v>180.85</v>
      </c>
      <c r="CP126" s="21">
        <f t="shared" si="248"/>
        <v>13.22</v>
      </c>
      <c r="CQ126" s="21">
        <f t="shared" si="249"/>
        <v>11.94</v>
      </c>
      <c r="CR126" s="21">
        <f t="shared" si="250"/>
        <v>13.22</v>
      </c>
      <c r="CS126" s="21">
        <f t="shared" si="251"/>
        <v>12.8</v>
      </c>
      <c r="CT126" s="27">
        <f t="shared" si="252"/>
        <v>13.22</v>
      </c>
      <c r="CU126" s="21">
        <f t="shared" si="253"/>
        <v>12.8</v>
      </c>
      <c r="CV126" s="21">
        <f t="shared" si="254"/>
        <v>13.22</v>
      </c>
      <c r="CW126" s="21">
        <f t="shared" si="255"/>
        <v>13.22</v>
      </c>
      <c r="CX126" s="21">
        <f t="shared" si="256"/>
        <v>12.8</v>
      </c>
      <c r="CY126" s="21">
        <f t="shared" si="257"/>
        <v>13.22</v>
      </c>
      <c r="CZ126" s="21">
        <f t="shared" si="258"/>
        <v>12.8</v>
      </c>
      <c r="DA126" s="21">
        <f t="shared" si="259"/>
        <v>13.22</v>
      </c>
      <c r="DB126" s="26">
        <f t="shared" si="274"/>
        <v>155.68</v>
      </c>
      <c r="DC126" s="26">
        <f t="shared" si="261"/>
        <v>336.53</v>
      </c>
      <c r="DD126" s="21">
        <f t="shared" si="262"/>
        <v>13.22</v>
      </c>
      <c r="DE126" s="21">
        <f t="shared" si="268"/>
        <v>11.94</v>
      </c>
      <c r="DF126" s="21">
        <f t="shared" si="269"/>
        <v>13.22</v>
      </c>
      <c r="DG126" s="21">
        <f t="shared" si="270"/>
        <v>12.8</v>
      </c>
      <c r="DH126" s="21">
        <f t="shared" si="263"/>
        <v>13.22</v>
      </c>
      <c r="DI126" s="21">
        <f t="shared" si="264"/>
        <v>12.8</v>
      </c>
      <c r="DJ126" s="26"/>
      <c r="DK126" s="26"/>
      <c r="DL126" s="26"/>
      <c r="DM126" s="26"/>
      <c r="DN126" s="26"/>
      <c r="DO126" s="26"/>
      <c r="DP126" s="26">
        <f t="shared" si="275"/>
        <v>77.2</v>
      </c>
      <c r="DQ126" s="21">
        <f t="shared" si="266"/>
        <v>413.73</v>
      </c>
      <c r="DR126" s="21">
        <f t="shared" si="267"/>
        <v>451.27</v>
      </c>
    </row>
    <row r="127" spans="2:123" ht="33">
      <c r="B127" s="66">
        <v>42690</v>
      </c>
      <c r="C127" s="39" t="s">
        <v>249</v>
      </c>
      <c r="D127" s="67" t="s">
        <v>341</v>
      </c>
      <c r="E127" s="36" t="s">
        <v>121</v>
      </c>
      <c r="F127" s="55" t="s">
        <v>342</v>
      </c>
      <c r="G127" s="40">
        <v>1197</v>
      </c>
      <c r="H127" s="21">
        <f t="shared" si="198"/>
        <v>119.7</v>
      </c>
      <c r="I127" s="21">
        <f t="shared" si="199"/>
        <v>1077.3</v>
      </c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21"/>
      <c r="AZ127" s="48"/>
      <c r="BA127" s="48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>
        <f>ROUND((I127/5/365*14),2)</f>
        <v>8.26</v>
      </c>
      <c r="CM127" s="21">
        <f t="shared" si="245"/>
        <v>18.3</v>
      </c>
      <c r="CN127" s="21">
        <f t="shared" si="246"/>
        <v>26.560000000000002</v>
      </c>
      <c r="CO127" s="26">
        <f t="shared" si="247"/>
        <v>26.56</v>
      </c>
      <c r="CP127" s="21">
        <f t="shared" si="248"/>
        <v>18.3</v>
      </c>
      <c r="CQ127" s="21">
        <f t="shared" si="249"/>
        <v>16.53</v>
      </c>
      <c r="CR127" s="21">
        <f t="shared" si="250"/>
        <v>18.3</v>
      </c>
      <c r="CS127" s="21">
        <f t="shared" si="251"/>
        <v>17.71</v>
      </c>
      <c r="CT127" s="27">
        <f t="shared" si="252"/>
        <v>18.3</v>
      </c>
      <c r="CU127" s="21">
        <f t="shared" si="253"/>
        <v>17.71</v>
      </c>
      <c r="CV127" s="21">
        <f t="shared" si="254"/>
        <v>18.3</v>
      </c>
      <c r="CW127" s="21">
        <f t="shared" si="255"/>
        <v>18.3</v>
      </c>
      <c r="CX127" s="21">
        <f t="shared" si="256"/>
        <v>17.71</v>
      </c>
      <c r="CY127" s="21">
        <f t="shared" si="257"/>
        <v>18.3</v>
      </c>
      <c r="CZ127" s="21">
        <f t="shared" si="258"/>
        <v>17.71</v>
      </c>
      <c r="DA127" s="21">
        <f t="shared" si="259"/>
        <v>18.3</v>
      </c>
      <c r="DB127" s="26">
        <f t="shared" si="274"/>
        <v>215.47000000000003</v>
      </c>
      <c r="DC127" s="26">
        <f t="shared" si="261"/>
        <v>242.03</v>
      </c>
      <c r="DD127" s="21">
        <f t="shared" si="262"/>
        <v>18.3</v>
      </c>
      <c r="DE127" s="21">
        <f t="shared" si="268"/>
        <v>16.53</v>
      </c>
      <c r="DF127" s="21">
        <f t="shared" si="269"/>
        <v>18.3</v>
      </c>
      <c r="DG127" s="21">
        <f t="shared" si="270"/>
        <v>17.71</v>
      </c>
      <c r="DH127" s="21">
        <f t="shared" si="263"/>
        <v>18.3</v>
      </c>
      <c r="DI127" s="21">
        <f t="shared" si="264"/>
        <v>17.71</v>
      </c>
      <c r="DJ127" s="26"/>
      <c r="DK127" s="26"/>
      <c r="DL127" s="26"/>
      <c r="DM127" s="26"/>
      <c r="DN127" s="26"/>
      <c r="DO127" s="26"/>
      <c r="DP127" s="26">
        <f t="shared" si="275"/>
        <v>106.85</v>
      </c>
      <c r="DQ127" s="21">
        <f t="shared" si="266"/>
        <v>348.88</v>
      </c>
      <c r="DR127" s="21">
        <f t="shared" si="267"/>
        <v>848.12</v>
      </c>
    </row>
    <row r="128" spans="2:123" ht="33">
      <c r="B128" s="66">
        <v>42690</v>
      </c>
      <c r="C128" s="39" t="s">
        <v>249</v>
      </c>
      <c r="D128" s="67" t="s">
        <v>343</v>
      </c>
      <c r="E128" s="36" t="s">
        <v>121</v>
      </c>
      <c r="F128" s="55" t="s">
        <v>344</v>
      </c>
      <c r="G128" s="40">
        <v>1197</v>
      </c>
      <c r="H128" s="21">
        <f t="shared" si="198"/>
        <v>119.7</v>
      </c>
      <c r="I128" s="21">
        <f t="shared" si="199"/>
        <v>1077.3</v>
      </c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21"/>
      <c r="AZ128" s="48"/>
      <c r="BA128" s="48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>
        <f>ROUND((I128/5/365*14),2)</f>
        <v>8.26</v>
      </c>
      <c r="CM128" s="21">
        <f t="shared" si="245"/>
        <v>18.3</v>
      </c>
      <c r="CN128" s="21">
        <f t="shared" si="246"/>
        <v>26.560000000000002</v>
      </c>
      <c r="CO128" s="26">
        <f t="shared" si="247"/>
        <v>26.56</v>
      </c>
      <c r="CP128" s="21">
        <f t="shared" si="248"/>
        <v>18.3</v>
      </c>
      <c r="CQ128" s="21">
        <f t="shared" si="249"/>
        <v>16.53</v>
      </c>
      <c r="CR128" s="21">
        <f t="shared" si="250"/>
        <v>18.3</v>
      </c>
      <c r="CS128" s="21">
        <f t="shared" si="251"/>
        <v>17.71</v>
      </c>
      <c r="CT128" s="27">
        <f t="shared" si="252"/>
        <v>18.3</v>
      </c>
      <c r="CU128" s="21">
        <f t="shared" si="253"/>
        <v>17.71</v>
      </c>
      <c r="CV128" s="21">
        <f t="shared" si="254"/>
        <v>18.3</v>
      </c>
      <c r="CW128" s="21">
        <f t="shared" si="255"/>
        <v>18.3</v>
      </c>
      <c r="CX128" s="21">
        <f t="shared" si="256"/>
        <v>17.71</v>
      </c>
      <c r="CY128" s="21">
        <f t="shared" si="257"/>
        <v>18.3</v>
      </c>
      <c r="CZ128" s="21">
        <f t="shared" si="258"/>
        <v>17.71</v>
      </c>
      <c r="DA128" s="21">
        <f t="shared" si="259"/>
        <v>18.3</v>
      </c>
      <c r="DB128" s="26">
        <f t="shared" si="274"/>
        <v>215.47000000000003</v>
      </c>
      <c r="DC128" s="26">
        <f t="shared" si="261"/>
        <v>242.03</v>
      </c>
      <c r="DD128" s="21">
        <f t="shared" si="262"/>
        <v>18.3</v>
      </c>
      <c r="DE128" s="21">
        <f t="shared" si="268"/>
        <v>16.53</v>
      </c>
      <c r="DF128" s="21">
        <f t="shared" si="269"/>
        <v>18.3</v>
      </c>
      <c r="DG128" s="21">
        <f t="shared" si="270"/>
        <v>17.71</v>
      </c>
      <c r="DH128" s="21">
        <f t="shared" si="263"/>
        <v>18.3</v>
      </c>
      <c r="DI128" s="21">
        <f t="shared" si="264"/>
        <v>17.71</v>
      </c>
      <c r="DJ128" s="26"/>
      <c r="DK128" s="26"/>
      <c r="DL128" s="26"/>
      <c r="DM128" s="26"/>
      <c r="DN128" s="26"/>
      <c r="DO128" s="26"/>
      <c r="DP128" s="26">
        <f t="shared" si="275"/>
        <v>106.85</v>
      </c>
      <c r="DQ128" s="21">
        <f t="shared" si="266"/>
        <v>348.88</v>
      </c>
      <c r="DR128" s="21">
        <f t="shared" si="267"/>
        <v>848.12</v>
      </c>
    </row>
    <row r="129" spans="2:122" ht="16.5">
      <c r="B129" s="66">
        <v>42690</v>
      </c>
      <c r="C129" s="39" t="s">
        <v>274</v>
      </c>
      <c r="D129" s="39" t="s">
        <v>345</v>
      </c>
      <c r="E129" s="36" t="s">
        <v>121</v>
      </c>
      <c r="F129" s="55" t="s">
        <v>346</v>
      </c>
      <c r="G129" s="40">
        <v>2220</v>
      </c>
      <c r="H129" s="21">
        <f t="shared" si="198"/>
        <v>222</v>
      </c>
      <c r="I129" s="21">
        <f t="shared" si="199"/>
        <v>1998</v>
      </c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21"/>
      <c r="AZ129" s="48"/>
      <c r="BA129" s="48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>
        <f>ROUND((I129/5/365*14),2)</f>
        <v>15.33</v>
      </c>
      <c r="CM129" s="21">
        <f t="shared" si="245"/>
        <v>33.94</v>
      </c>
      <c r="CN129" s="21">
        <f t="shared" si="246"/>
        <v>49.269999999999996</v>
      </c>
      <c r="CO129" s="26">
        <f t="shared" si="247"/>
        <v>49.27</v>
      </c>
      <c r="CP129" s="21">
        <f t="shared" si="248"/>
        <v>33.94</v>
      </c>
      <c r="CQ129" s="21">
        <f t="shared" si="249"/>
        <v>30.65</v>
      </c>
      <c r="CR129" s="21">
        <f t="shared" si="250"/>
        <v>33.94</v>
      </c>
      <c r="CS129" s="21">
        <f t="shared" si="251"/>
        <v>32.840000000000003</v>
      </c>
      <c r="CT129" s="27">
        <f t="shared" si="252"/>
        <v>33.94</v>
      </c>
      <c r="CU129" s="21">
        <f t="shared" si="253"/>
        <v>32.840000000000003</v>
      </c>
      <c r="CV129" s="21">
        <f t="shared" si="254"/>
        <v>33.94</v>
      </c>
      <c r="CW129" s="21">
        <f t="shared" si="255"/>
        <v>33.94</v>
      </c>
      <c r="CX129" s="21">
        <f t="shared" si="256"/>
        <v>32.840000000000003</v>
      </c>
      <c r="CY129" s="21">
        <f t="shared" si="257"/>
        <v>33.94</v>
      </c>
      <c r="CZ129" s="21">
        <f t="shared" si="258"/>
        <v>32.840000000000003</v>
      </c>
      <c r="DA129" s="21">
        <f t="shared" si="259"/>
        <v>33.94</v>
      </c>
      <c r="DB129" s="26">
        <f t="shared" si="274"/>
        <v>399.59</v>
      </c>
      <c r="DC129" s="26">
        <f t="shared" si="261"/>
        <v>448.86</v>
      </c>
      <c r="DD129" s="21">
        <f t="shared" si="262"/>
        <v>33.94</v>
      </c>
      <c r="DE129" s="21">
        <f t="shared" si="268"/>
        <v>30.65</v>
      </c>
      <c r="DF129" s="21">
        <f t="shared" si="269"/>
        <v>33.94</v>
      </c>
      <c r="DG129" s="21">
        <f t="shared" si="270"/>
        <v>32.840000000000003</v>
      </c>
      <c r="DH129" s="21">
        <f t="shared" si="263"/>
        <v>33.94</v>
      </c>
      <c r="DI129" s="21">
        <f t="shared" si="264"/>
        <v>32.840000000000003</v>
      </c>
      <c r="DJ129" s="26"/>
      <c r="DK129" s="26"/>
      <c r="DL129" s="26"/>
      <c r="DM129" s="26"/>
      <c r="DN129" s="26"/>
      <c r="DO129" s="26"/>
      <c r="DP129" s="26">
        <f t="shared" si="275"/>
        <v>198.15</v>
      </c>
      <c r="DQ129" s="21">
        <f t="shared" si="266"/>
        <v>647.01</v>
      </c>
      <c r="DR129" s="21">
        <f t="shared" si="267"/>
        <v>1572.99</v>
      </c>
    </row>
    <row r="130" spans="2:122" ht="24.75">
      <c r="B130" s="37">
        <v>42723</v>
      </c>
      <c r="C130" s="68" t="s">
        <v>347</v>
      </c>
      <c r="D130" s="68" t="s">
        <v>348</v>
      </c>
      <c r="E130" s="68" t="s">
        <v>148</v>
      </c>
      <c r="F130" s="68" t="s">
        <v>349</v>
      </c>
      <c r="G130" s="69">
        <v>785</v>
      </c>
      <c r="H130" s="21">
        <f t="shared" si="198"/>
        <v>78.5</v>
      </c>
      <c r="I130" s="21">
        <f t="shared" si="199"/>
        <v>706.5</v>
      </c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21"/>
      <c r="AZ130" s="48"/>
      <c r="BA130" s="48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>
        <f>ROUND((I130/5/365*12),2)</f>
        <v>4.6500000000000004</v>
      </c>
      <c r="CN130" s="21">
        <f t="shared" si="246"/>
        <v>4.6500000000000004</v>
      </c>
      <c r="CO130" s="26">
        <f t="shared" si="247"/>
        <v>4.6500000000000004</v>
      </c>
      <c r="CP130" s="21">
        <f t="shared" si="248"/>
        <v>12</v>
      </c>
      <c r="CQ130" s="21">
        <f t="shared" si="249"/>
        <v>10.84</v>
      </c>
      <c r="CR130" s="21">
        <f t="shared" si="250"/>
        <v>12</v>
      </c>
      <c r="CS130" s="21">
        <f t="shared" si="251"/>
        <v>11.61</v>
      </c>
      <c r="CT130" s="27">
        <f t="shared" si="252"/>
        <v>12</v>
      </c>
      <c r="CU130" s="21">
        <f t="shared" si="253"/>
        <v>11.61</v>
      </c>
      <c r="CV130" s="21">
        <f t="shared" si="254"/>
        <v>12</v>
      </c>
      <c r="CW130" s="21">
        <f t="shared" si="255"/>
        <v>12</v>
      </c>
      <c r="CX130" s="21">
        <f t="shared" si="256"/>
        <v>11.61</v>
      </c>
      <c r="CY130" s="21">
        <f t="shared" si="257"/>
        <v>12</v>
      </c>
      <c r="CZ130" s="21">
        <f t="shared" si="258"/>
        <v>11.61</v>
      </c>
      <c r="DA130" s="21">
        <f t="shared" si="259"/>
        <v>12</v>
      </c>
      <c r="DB130" s="26">
        <f t="shared" si="274"/>
        <v>141.28</v>
      </c>
      <c r="DC130" s="26">
        <f t="shared" si="261"/>
        <v>145.93</v>
      </c>
      <c r="DD130" s="21">
        <f t="shared" si="262"/>
        <v>12</v>
      </c>
      <c r="DE130" s="21">
        <f t="shared" si="268"/>
        <v>10.84</v>
      </c>
      <c r="DF130" s="21">
        <f t="shared" si="269"/>
        <v>12</v>
      </c>
      <c r="DG130" s="21">
        <f t="shared" si="270"/>
        <v>11.61</v>
      </c>
      <c r="DH130" s="21">
        <f t="shared" si="263"/>
        <v>12</v>
      </c>
      <c r="DI130" s="21">
        <f t="shared" si="264"/>
        <v>11.61</v>
      </c>
      <c r="DJ130" s="26"/>
      <c r="DK130" s="26"/>
      <c r="DL130" s="26"/>
      <c r="DM130" s="26"/>
      <c r="DN130" s="26"/>
      <c r="DO130" s="26"/>
      <c r="DP130" s="26">
        <f t="shared" si="275"/>
        <v>70.06</v>
      </c>
      <c r="DQ130" s="21">
        <f t="shared" si="266"/>
        <v>215.99</v>
      </c>
      <c r="DR130" s="21">
        <f t="shared" si="267"/>
        <v>569.01</v>
      </c>
    </row>
    <row r="131" spans="2:122" ht="24.75">
      <c r="B131" s="37">
        <v>42723</v>
      </c>
      <c r="C131" s="68" t="s">
        <v>347</v>
      </c>
      <c r="D131" s="68" t="s">
        <v>348</v>
      </c>
      <c r="E131" s="68" t="s">
        <v>186</v>
      </c>
      <c r="F131" s="68" t="s">
        <v>350</v>
      </c>
      <c r="G131" s="69">
        <v>785</v>
      </c>
      <c r="H131" s="21">
        <f t="shared" si="198"/>
        <v>78.5</v>
      </c>
      <c r="I131" s="21">
        <f t="shared" si="199"/>
        <v>706.5</v>
      </c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21"/>
      <c r="AZ131" s="48"/>
      <c r="BA131" s="48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>
        <f>ROUND((I131/5/365*12),2)</f>
        <v>4.6500000000000004</v>
      </c>
      <c r="CN131" s="21">
        <f t="shared" si="246"/>
        <v>4.6500000000000004</v>
      </c>
      <c r="CO131" s="26">
        <f t="shared" si="247"/>
        <v>4.6500000000000004</v>
      </c>
      <c r="CP131" s="21">
        <f t="shared" si="248"/>
        <v>12</v>
      </c>
      <c r="CQ131" s="21">
        <f t="shared" si="249"/>
        <v>10.84</v>
      </c>
      <c r="CR131" s="21">
        <f t="shared" si="250"/>
        <v>12</v>
      </c>
      <c r="CS131" s="21">
        <f t="shared" si="251"/>
        <v>11.61</v>
      </c>
      <c r="CT131" s="27">
        <f t="shared" si="252"/>
        <v>12</v>
      </c>
      <c r="CU131" s="21">
        <f t="shared" si="253"/>
        <v>11.61</v>
      </c>
      <c r="CV131" s="21">
        <f t="shared" si="254"/>
        <v>12</v>
      </c>
      <c r="CW131" s="21">
        <f t="shared" si="255"/>
        <v>12</v>
      </c>
      <c r="CX131" s="21">
        <f t="shared" si="256"/>
        <v>11.61</v>
      </c>
      <c r="CY131" s="21">
        <f t="shared" si="257"/>
        <v>12</v>
      </c>
      <c r="CZ131" s="21">
        <f t="shared" si="258"/>
        <v>11.61</v>
      </c>
      <c r="DA131" s="21">
        <f t="shared" si="259"/>
        <v>12</v>
      </c>
      <c r="DB131" s="26">
        <f t="shared" si="274"/>
        <v>141.28</v>
      </c>
      <c r="DC131" s="26">
        <f t="shared" si="261"/>
        <v>145.93</v>
      </c>
      <c r="DD131" s="21">
        <f t="shared" si="262"/>
        <v>12</v>
      </c>
      <c r="DE131" s="21">
        <f t="shared" si="268"/>
        <v>10.84</v>
      </c>
      <c r="DF131" s="21">
        <f t="shared" si="269"/>
        <v>12</v>
      </c>
      <c r="DG131" s="21">
        <f t="shared" si="270"/>
        <v>11.61</v>
      </c>
      <c r="DH131" s="21">
        <f t="shared" si="263"/>
        <v>12</v>
      </c>
      <c r="DI131" s="21">
        <f t="shared" si="264"/>
        <v>11.61</v>
      </c>
      <c r="DJ131" s="26"/>
      <c r="DK131" s="26"/>
      <c r="DL131" s="26"/>
      <c r="DM131" s="26"/>
      <c r="DN131" s="26"/>
      <c r="DO131" s="26"/>
      <c r="DP131" s="26">
        <f t="shared" si="275"/>
        <v>70.06</v>
      </c>
      <c r="DQ131" s="21">
        <f t="shared" si="266"/>
        <v>215.99</v>
      </c>
      <c r="DR131" s="21">
        <f t="shared" si="267"/>
        <v>569.01</v>
      </c>
    </row>
    <row r="132" spans="2:122" ht="24.75">
      <c r="B132" s="37">
        <v>42726</v>
      </c>
      <c r="C132" s="38" t="s">
        <v>351</v>
      </c>
      <c r="D132" s="38" t="s">
        <v>352</v>
      </c>
      <c r="E132" s="39" t="s">
        <v>353</v>
      </c>
      <c r="F132" s="39" t="s">
        <v>354</v>
      </c>
      <c r="G132" s="40">
        <v>1699.52</v>
      </c>
      <c r="H132" s="21">
        <f t="shared" si="198"/>
        <v>169.952</v>
      </c>
      <c r="I132" s="21">
        <f t="shared" si="199"/>
        <v>1529.568</v>
      </c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21"/>
      <c r="CM132" s="21">
        <f>ROUND((I132/5/365*9),2)</f>
        <v>7.54</v>
      </c>
      <c r="CN132" s="21">
        <f t="shared" si="246"/>
        <v>7.54</v>
      </c>
      <c r="CO132" s="26">
        <f t="shared" si="247"/>
        <v>7.54</v>
      </c>
      <c r="CP132" s="21">
        <f t="shared" si="248"/>
        <v>25.98</v>
      </c>
      <c r="CQ132" s="21">
        <f t="shared" si="249"/>
        <v>23.47</v>
      </c>
      <c r="CR132" s="21">
        <f t="shared" si="250"/>
        <v>25.98</v>
      </c>
      <c r="CS132" s="21">
        <f t="shared" si="251"/>
        <v>25.14</v>
      </c>
      <c r="CT132" s="27">
        <f t="shared" si="252"/>
        <v>25.98</v>
      </c>
      <c r="CU132" s="21">
        <f t="shared" si="253"/>
        <v>25.14</v>
      </c>
      <c r="CV132" s="21">
        <f t="shared" si="254"/>
        <v>25.98</v>
      </c>
      <c r="CW132" s="21">
        <f t="shared" si="255"/>
        <v>25.98</v>
      </c>
      <c r="CX132" s="21">
        <f t="shared" si="256"/>
        <v>25.14</v>
      </c>
      <c r="CY132" s="21">
        <f t="shared" si="257"/>
        <v>25.98</v>
      </c>
      <c r="CZ132" s="21">
        <f t="shared" si="258"/>
        <v>25.14</v>
      </c>
      <c r="DA132" s="21">
        <f t="shared" si="259"/>
        <v>25.98</v>
      </c>
      <c r="DB132" s="26">
        <f t="shared" si="274"/>
        <v>305.89</v>
      </c>
      <c r="DC132" s="26">
        <f t="shared" si="261"/>
        <v>313.43</v>
      </c>
      <c r="DD132" s="21">
        <f t="shared" si="262"/>
        <v>25.98</v>
      </c>
      <c r="DE132" s="21">
        <f t="shared" si="268"/>
        <v>23.47</v>
      </c>
      <c r="DF132" s="21">
        <f t="shared" si="269"/>
        <v>25.98</v>
      </c>
      <c r="DG132" s="21">
        <f t="shared" si="270"/>
        <v>25.14</v>
      </c>
      <c r="DH132" s="21">
        <f t="shared" si="263"/>
        <v>25.98</v>
      </c>
      <c r="DI132" s="21">
        <f t="shared" si="264"/>
        <v>25.14</v>
      </c>
      <c r="DJ132" s="26"/>
      <c r="DK132" s="26"/>
      <c r="DL132" s="26"/>
      <c r="DM132" s="26"/>
      <c r="DN132" s="26"/>
      <c r="DO132" s="26"/>
      <c r="DP132" s="26">
        <f t="shared" si="275"/>
        <v>151.69</v>
      </c>
      <c r="DQ132" s="21">
        <f t="shared" si="266"/>
        <v>465.12</v>
      </c>
      <c r="DR132" s="21">
        <f t="shared" si="267"/>
        <v>1234.4000000000001</v>
      </c>
    </row>
    <row r="133" spans="2:122" ht="16.5">
      <c r="B133" s="37">
        <v>42899</v>
      </c>
      <c r="C133" s="38" t="s">
        <v>355</v>
      </c>
      <c r="D133" s="38" t="s">
        <v>356</v>
      </c>
      <c r="E133" s="38" t="s">
        <v>175</v>
      </c>
      <c r="F133" s="39" t="s">
        <v>357</v>
      </c>
      <c r="G133" s="54">
        <v>1977.5</v>
      </c>
      <c r="H133" s="21">
        <f t="shared" si="198"/>
        <v>197.75</v>
      </c>
      <c r="I133" s="21">
        <f t="shared" si="199"/>
        <v>1779.75</v>
      </c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21"/>
      <c r="CM133" s="21"/>
      <c r="CN133" s="21"/>
      <c r="CO133" s="26"/>
      <c r="CP133" s="21"/>
      <c r="CQ133" s="21"/>
      <c r="CR133" s="21"/>
      <c r="CS133" s="21"/>
      <c r="CT133" s="27"/>
      <c r="CU133" s="21">
        <f>ROUND((I133/5/365*17),2)</f>
        <v>16.579999999999998</v>
      </c>
      <c r="CV133" s="21">
        <f t="shared" si="254"/>
        <v>30.23</v>
      </c>
      <c r="CW133" s="21">
        <f t="shared" si="255"/>
        <v>30.23</v>
      </c>
      <c r="CX133" s="21">
        <f t="shared" si="256"/>
        <v>29.26</v>
      </c>
      <c r="CY133" s="21">
        <f t="shared" si="257"/>
        <v>30.23</v>
      </c>
      <c r="CZ133" s="21">
        <f t="shared" si="258"/>
        <v>29.26</v>
      </c>
      <c r="DA133" s="21">
        <f t="shared" si="259"/>
        <v>30.23</v>
      </c>
      <c r="DB133" s="26">
        <f t="shared" si="274"/>
        <v>196.01999999999998</v>
      </c>
      <c r="DC133" s="26">
        <f t="shared" si="261"/>
        <v>196.02</v>
      </c>
      <c r="DD133" s="21">
        <f t="shared" si="262"/>
        <v>30.23</v>
      </c>
      <c r="DE133" s="21">
        <f t="shared" si="268"/>
        <v>27.31</v>
      </c>
      <c r="DF133" s="21">
        <f t="shared" si="269"/>
        <v>30.23</v>
      </c>
      <c r="DG133" s="21">
        <f t="shared" si="270"/>
        <v>29.26</v>
      </c>
      <c r="DH133" s="21">
        <f t="shared" si="263"/>
        <v>30.23</v>
      </c>
      <c r="DI133" s="21">
        <f t="shared" si="264"/>
        <v>29.26</v>
      </c>
      <c r="DJ133" s="26"/>
      <c r="DK133" s="26"/>
      <c r="DL133" s="26"/>
      <c r="DM133" s="26"/>
      <c r="DN133" s="26"/>
      <c r="DO133" s="26"/>
      <c r="DP133" s="26">
        <f t="shared" si="275"/>
        <v>176.51999999999998</v>
      </c>
      <c r="DQ133" s="21">
        <f t="shared" si="266"/>
        <v>372.54</v>
      </c>
      <c r="DR133" s="21">
        <f t="shared" si="267"/>
        <v>1604.96</v>
      </c>
    </row>
    <row r="134" spans="2:122" ht="16.5">
      <c r="B134" s="37">
        <v>42900</v>
      </c>
      <c r="C134" s="38" t="s">
        <v>249</v>
      </c>
      <c r="D134" s="38" t="s">
        <v>358</v>
      </c>
      <c r="E134" s="38" t="s">
        <v>359</v>
      </c>
      <c r="F134" s="39" t="s">
        <v>360</v>
      </c>
      <c r="G134" s="54">
        <v>1050</v>
      </c>
      <c r="H134" s="21">
        <f t="shared" si="198"/>
        <v>105</v>
      </c>
      <c r="I134" s="21">
        <f t="shared" si="199"/>
        <v>945</v>
      </c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21"/>
      <c r="CM134" s="21"/>
      <c r="CN134" s="21"/>
      <c r="CO134" s="26"/>
      <c r="CP134" s="21"/>
      <c r="CQ134" s="21"/>
      <c r="CR134" s="21"/>
      <c r="CS134" s="21"/>
      <c r="CT134" s="27"/>
      <c r="CU134" s="21">
        <f>ROUND((I134/5/365*16),2)</f>
        <v>8.2799999999999994</v>
      </c>
      <c r="CV134" s="21">
        <f t="shared" si="254"/>
        <v>16.05</v>
      </c>
      <c r="CW134" s="21">
        <f t="shared" si="255"/>
        <v>16.05</v>
      </c>
      <c r="CX134" s="21">
        <f t="shared" si="256"/>
        <v>15.53</v>
      </c>
      <c r="CY134" s="21">
        <f t="shared" si="257"/>
        <v>16.05</v>
      </c>
      <c r="CZ134" s="21">
        <f t="shared" si="258"/>
        <v>15.53</v>
      </c>
      <c r="DA134" s="21">
        <f t="shared" si="259"/>
        <v>16.05</v>
      </c>
      <c r="DB134" s="26">
        <f t="shared" si="274"/>
        <v>103.53999999999999</v>
      </c>
      <c r="DC134" s="26">
        <f t="shared" si="261"/>
        <v>103.54</v>
      </c>
      <c r="DD134" s="21">
        <f t="shared" si="262"/>
        <v>16.05</v>
      </c>
      <c r="DE134" s="21">
        <f t="shared" si="268"/>
        <v>14.5</v>
      </c>
      <c r="DF134" s="21">
        <f t="shared" si="269"/>
        <v>16.05</v>
      </c>
      <c r="DG134" s="21">
        <f t="shared" si="270"/>
        <v>15.53</v>
      </c>
      <c r="DH134" s="21">
        <f t="shared" si="263"/>
        <v>16.05</v>
      </c>
      <c r="DI134" s="21">
        <f t="shared" si="264"/>
        <v>15.53</v>
      </c>
      <c r="DJ134" s="26"/>
      <c r="DK134" s="26"/>
      <c r="DL134" s="26"/>
      <c r="DM134" s="26"/>
      <c r="DN134" s="26"/>
      <c r="DO134" s="26"/>
      <c r="DP134" s="26">
        <f t="shared" si="275"/>
        <v>93.710000000000008</v>
      </c>
      <c r="DQ134" s="21">
        <f t="shared" si="266"/>
        <v>197.25</v>
      </c>
      <c r="DR134" s="21">
        <f t="shared" si="267"/>
        <v>852.75</v>
      </c>
    </row>
    <row r="135" spans="2:122" ht="16.5">
      <c r="B135" s="37">
        <v>42900</v>
      </c>
      <c r="C135" s="38" t="s">
        <v>249</v>
      </c>
      <c r="D135" s="38" t="s">
        <v>361</v>
      </c>
      <c r="E135" s="38" t="s">
        <v>148</v>
      </c>
      <c r="F135" s="39" t="s">
        <v>362</v>
      </c>
      <c r="G135" s="54">
        <v>1050</v>
      </c>
      <c r="H135" s="21">
        <f t="shared" si="198"/>
        <v>105</v>
      </c>
      <c r="I135" s="21">
        <f t="shared" si="199"/>
        <v>945</v>
      </c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21"/>
      <c r="CM135" s="21"/>
      <c r="CN135" s="21"/>
      <c r="CO135" s="26"/>
      <c r="CP135" s="21"/>
      <c r="CQ135" s="21"/>
      <c r="CR135" s="21"/>
      <c r="CS135" s="21"/>
      <c r="CT135" s="27"/>
      <c r="CU135" s="21">
        <f>ROUND((I135/5/365*16),2)</f>
        <v>8.2799999999999994</v>
      </c>
      <c r="CV135" s="21">
        <f t="shared" si="254"/>
        <v>16.05</v>
      </c>
      <c r="CW135" s="21">
        <f t="shared" si="255"/>
        <v>16.05</v>
      </c>
      <c r="CX135" s="21">
        <f t="shared" si="256"/>
        <v>15.53</v>
      </c>
      <c r="CY135" s="21">
        <f t="shared" si="257"/>
        <v>16.05</v>
      </c>
      <c r="CZ135" s="21">
        <f t="shared" si="258"/>
        <v>15.53</v>
      </c>
      <c r="DA135" s="21">
        <f t="shared" si="259"/>
        <v>16.05</v>
      </c>
      <c r="DB135" s="26">
        <f t="shared" si="274"/>
        <v>103.53999999999999</v>
      </c>
      <c r="DC135" s="26">
        <f t="shared" si="261"/>
        <v>103.54</v>
      </c>
      <c r="DD135" s="21">
        <f t="shared" si="262"/>
        <v>16.05</v>
      </c>
      <c r="DE135" s="21">
        <f t="shared" si="268"/>
        <v>14.5</v>
      </c>
      <c r="DF135" s="21">
        <f t="shared" si="269"/>
        <v>16.05</v>
      </c>
      <c r="DG135" s="21">
        <f t="shared" si="270"/>
        <v>15.53</v>
      </c>
      <c r="DH135" s="21">
        <f t="shared" si="263"/>
        <v>16.05</v>
      </c>
      <c r="DI135" s="21">
        <f t="shared" si="264"/>
        <v>15.53</v>
      </c>
      <c r="DJ135" s="26"/>
      <c r="DK135" s="26"/>
      <c r="DL135" s="26"/>
      <c r="DM135" s="26"/>
      <c r="DN135" s="26"/>
      <c r="DO135" s="26"/>
      <c r="DP135" s="26">
        <f t="shared" si="275"/>
        <v>93.710000000000008</v>
      </c>
      <c r="DQ135" s="21">
        <f t="shared" si="266"/>
        <v>197.25</v>
      </c>
      <c r="DR135" s="21">
        <f t="shared" si="267"/>
        <v>852.75</v>
      </c>
    </row>
    <row r="136" spans="2:122" ht="16.5">
      <c r="B136" s="37">
        <v>42900</v>
      </c>
      <c r="C136" s="38" t="s">
        <v>249</v>
      </c>
      <c r="D136" s="38" t="s">
        <v>363</v>
      </c>
      <c r="E136" s="38" t="s">
        <v>136</v>
      </c>
      <c r="F136" s="39" t="s">
        <v>364</v>
      </c>
      <c r="G136" s="54">
        <v>1050</v>
      </c>
      <c r="H136" s="21">
        <f t="shared" si="198"/>
        <v>105</v>
      </c>
      <c r="I136" s="21">
        <f t="shared" si="199"/>
        <v>945</v>
      </c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21"/>
      <c r="CM136" s="21"/>
      <c r="CN136" s="21"/>
      <c r="CO136" s="26"/>
      <c r="CP136" s="21"/>
      <c r="CQ136" s="21"/>
      <c r="CR136" s="21"/>
      <c r="CS136" s="21"/>
      <c r="CT136" s="27"/>
      <c r="CU136" s="21">
        <f>ROUND((I136/5/365*16),2)</f>
        <v>8.2799999999999994</v>
      </c>
      <c r="CV136" s="21">
        <f t="shared" si="254"/>
        <v>16.05</v>
      </c>
      <c r="CW136" s="21">
        <f t="shared" si="255"/>
        <v>16.05</v>
      </c>
      <c r="CX136" s="21">
        <f t="shared" si="256"/>
        <v>15.53</v>
      </c>
      <c r="CY136" s="21">
        <f t="shared" si="257"/>
        <v>16.05</v>
      </c>
      <c r="CZ136" s="21">
        <f t="shared" si="258"/>
        <v>15.53</v>
      </c>
      <c r="DA136" s="21">
        <f t="shared" si="259"/>
        <v>16.05</v>
      </c>
      <c r="DB136" s="26">
        <f t="shared" si="274"/>
        <v>103.53999999999999</v>
      </c>
      <c r="DC136" s="26">
        <f t="shared" si="261"/>
        <v>103.54</v>
      </c>
      <c r="DD136" s="21">
        <f t="shared" si="262"/>
        <v>16.05</v>
      </c>
      <c r="DE136" s="21">
        <f t="shared" si="268"/>
        <v>14.5</v>
      </c>
      <c r="DF136" s="21">
        <f t="shared" si="269"/>
        <v>16.05</v>
      </c>
      <c r="DG136" s="21">
        <f t="shared" si="270"/>
        <v>15.53</v>
      </c>
      <c r="DH136" s="21">
        <f t="shared" si="263"/>
        <v>16.05</v>
      </c>
      <c r="DI136" s="21">
        <f t="shared" si="264"/>
        <v>15.53</v>
      </c>
      <c r="DJ136" s="26"/>
      <c r="DK136" s="26"/>
      <c r="DL136" s="26"/>
      <c r="DM136" s="26"/>
      <c r="DN136" s="26"/>
      <c r="DO136" s="26"/>
      <c r="DP136" s="26">
        <f t="shared" si="275"/>
        <v>93.710000000000008</v>
      </c>
      <c r="DQ136" s="21">
        <f t="shared" si="266"/>
        <v>197.25</v>
      </c>
      <c r="DR136" s="21">
        <f t="shared" si="267"/>
        <v>852.75</v>
      </c>
    </row>
    <row r="137" spans="2:122" ht="16.5">
      <c r="B137" s="37">
        <v>42905</v>
      </c>
      <c r="C137" s="38" t="s">
        <v>365</v>
      </c>
      <c r="D137" s="38" t="s">
        <v>366</v>
      </c>
      <c r="E137" s="38" t="s">
        <v>98</v>
      </c>
      <c r="F137" s="39" t="s">
        <v>367</v>
      </c>
      <c r="G137" s="54">
        <v>1370</v>
      </c>
      <c r="H137" s="21">
        <f t="shared" si="198"/>
        <v>137</v>
      </c>
      <c r="I137" s="21">
        <f t="shared" si="199"/>
        <v>1233</v>
      </c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21"/>
      <c r="CM137" s="21"/>
      <c r="CN137" s="21"/>
      <c r="CO137" s="26"/>
      <c r="CP137" s="21"/>
      <c r="CQ137" s="21"/>
      <c r="CR137" s="21"/>
      <c r="CS137" s="21"/>
      <c r="CT137" s="27"/>
      <c r="CU137" s="21">
        <f>ROUND((I137/5/365*11),2)</f>
        <v>7.43</v>
      </c>
      <c r="CV137" s="21">
        <f t="shared" si="254"/>
        <v>20.94</v>
      </c>
      <c r="CW137" s="21">
        <f t="shared" si="255"/>
        <v>20.94</v>
      </c>
      <c r="CX137" s="21">
        <f t="shared" si="256"/>
        <v>20.27</v>
      </c>
      <c r="CY137" s="21">
        <f t="shared" si="257"/>
        <v>20.94</v>
      </c>
      <c r="CZ137" s="21">
        <f t="shared" si="258"/>
        <v>20.27</v>
      </c>
      <c r="DA137" s="21">
        <f t="shared" si="259"/>
        <v>20.94</v>
      </c>
      <c r="DB137" s="26">
        <f t="shared" si="274"/>
        <v>131.72999999999999</v>
      </c>
      <c r="DC137" s="26">
        <f t="shared" si="261"/>
        <v>131.72999999999999</v>
      </c>
      <c r="DD137" s="21">
        <f t="shared" si="262"/>
        <v>20.94</v>
      </c>
      <c r="DE137" s="21">
        <f t="shared" si="268"/>
        <v>18.920000000000002</v>
      </c>
      <c r="DF137" s="21">
        <f t="shared" si="269"/>
        <v>20.94</v>
      </c>
      <c r="DG137" s="21">
        <f t="shared" si="270"/>
        <v>20.27</v>
      </c>
      <c r="DH137" s="21">
        <f t="shared" si="263"/>
        <v>20.94</v>
      </c>
      <c r="DI137" s="21">
        <f t="shared" si="264"/>
        <v>20.27</v>
      </c>
      <c r="DJ137" s="26"/>
      <c r="DK137" s="26"/>
      <c r="DL137" s="26"/>
      <c r="DM137" s="26"/>
      <c r="DN137" s="26"/>
      <c r="DO137" s="26"/>
      <c r="DP137" s="26">
        <f t="shared" si="275"/>
        <v>122.27999999999999</v>
      </c>
      <c r="DQ137" s="21">
        <f t="shared" si="266"/>
        <v>254.01</v>
      </c>
      <c r="DR137" s="21">
        <f t="shared" si="267"/>
        <v>1115.99</v>
      </c>
    </row>
    <row r="138" spans="2:122" ht="16.5">
      <c r="B138" s="37">
        <v>42905</v>
      </c>
      <c r="C138" s="38" t="s">
        <v>365</v>
      </c>
      <c r="D138" s="38" t="s">
        <v>368</v>
      </c>
      <c r="E138" s="38" t="s">
        <v>98</v>
      </c>
      <c r="F138" s="39" t="s">
        <v>369</v>
      </c>
      <c r="G138" s="54">
        <v>1370</v>
      </c>
      <c r="H138" s="21">
        <f t="shared" si="198"/>
        <v>137</v>
      </c>
      <c r="I138" s="21">
        <f t="shared" si="199"/>
        <v>1233</v>
      </c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21"/>
      <c r="CM138" s="21"/>
      <c r="CN138" s="21"/>
      <c r="CO138" s="26"/>
      <c r="CP138" s="21"/>
      <c r="CQ138" s="21"/>
      <c r="CR138" s="21"/>
      <c r="CS138" s="21"/>
      <c r="CT138" s="27"/>
      <c r="CU138" s="21">
        <f t="shared" ref="CU138:CU139" si="276">ROUND((I138/5/365*11),2)</f>
        <v>7.43</v>
      </c>
      <c r="CV138" s="21">
        <f t="shared" si="254"/>
        <v>20.94</v>
      </c>
      <c r="CW138" s="21">
        <f t="shared" si="255"/>
        <v>20.94</v>
      </c>
      <c r="CX138" s="21">
        <f t="shared" si="256"/>
        <v>20.27</v>
      </c>
      <c r="CY138" s="21">
        <f t="shared" si="257"/>
        <v>20.94</v>
      </c>
      <c r="CZ138" s="21">
        <f t="shared" si="258"/>
        <v>20.27</v>
      </c>
      <c r="DA138" s="21">
        <f t="shared" si="259"/>
        <v>20.94</v>
      </c>
      <c r="DB138" s="26">
        <f t="shared" si="274"/>
        <v>131.72999999999999</v>
      </c>
      <c r="DC138" s="26">
        <f t="shared" si="261"/>
        <v>131.72999999999999</v>
      </c>
      <c r="DD138" s="21">
        <f t="shared" si="262"/>
        <v>20.94</v>
      </c>
      <c r="DE138" s="21">
        <f t="shared" si="268"/>
        <v>18.920000000000002</v>
      </c>
      <c r="DF138" s="21">
        <f t="shared" si="269"/>
        <v>20.94</v>
      </c>
      <c r="DG138" s="21">
        <f t="shared" si="270"/>
        <v>20.27</v>
      </c>
      <c r="DH138" s="21">
        <f t="shared" si="263"/>
        <v>20.94</v>
      </c>
      <c r="DI138" s="21">
        <f t="shared" si="264"/>
        <v>20.27</v>
      </c>
      <c r="DJ138" s="26"/>
      <c r="DK138" s="26"/>
      <c r="DL138" s="26"/>
      <c r="DM138" s="26"/>
      <c r="DN138" s="26"/>
      <c r="DO138" s="26"/>
      <c r="DP138" s="26">
        <f t="shared" si="275"/>
        <v>122.27999999999999</v>
      </c>
      <c r="DQ138" s="21">
        <f t="shared" si="266"/>
        <v>254.01</v>
      </c>
      <c r="DR138" s="21">
        <f t="shared" si="267"/>
        <v>1115.99</v>
      </c>
    </row>
    <row r="139" spans="2:122" ht="16.5">
      <c r="B139" s="37">
        <v>42905</v>
      </c>
      <c r="C139" s="38" t="s">
        <v>365</v>
      </c>
      <c r="D139" s="38" t="s">
        <v>370</v>
      </c>
      <c r="E139" s="38" t="s">
        <v>209</v>
      </c>
      <c r="F139" s="39" t="s">
        <v>371</v>
      </c>
      <c r="G139" s="54">
        <v>1370</v>
      </c>
      <c r="H139" s="21">
        <f t="shared" si="198"/>
        <v>137</v>
      </c>
      <c r="I139" s="21">
        <f t="shared" si="199"/>
        <v>1233</v>
      </c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21"/>
      <c r="CM139" s="21"/>
      <c r="CN139" s="21"/>
      <c r="CO139" s="26"/>
      <c r="CP139" s="21"/>
      <c r="CQ139" s="21"/>
      <c r="CR139" s="21"/>
      <c r="CS139" s="21"/>
      <c r="CT139" s="27"/>
      <c r="CU139" s="21">
        <f t="shared" si="276"/>
        <v>7.43</v>
      </c>
      <c r="CV139" s="21">
        <f t="shared" si="254"/>
        <v>20.94</v>
      </c>
      <c r="CW139" s="21">
        <f t="shared" si="255"/>
        <v>20.94</v>
      </c>
      <c r="CX139" s="21">
        <f t="shared" si="256"/>
        <v>20.27</v>
      </c>
      <c r="CY139" s="21">
        <f t="shared" si="257"/>
        <v>20.94</v>
      </c>
      <c r="CZ139" s="21">
        <f t="shared" si="258"/>
        <v>20.27</v>
      </c>
      <c r="DA139" s="21">
        <f t="shared" si="259"/>
        <v>20.94</v>
      </c>
      <c r="DB139" s="26">
        <f t="shared" si="274"/>
        <v>131.72999999999999</v>
      </c>
      <c r="DC139" s="26">
        <f t="shared" si="261"/>
        <v>131.72999999999999</v>
      </c>
      <c r="DD139" s="21">
        <f t="shared" si="262"/>
        <v>20.94</v>
      </c>
      <c r="DE139" s="21">
        <f t="shared" si="268"/>
        <v>18.920000000000002</v>
      </c>
      <c r="DF139" s="21">
        <f t="shared" si="269"/>
        <v>20.94</v>
      </c>
      <c r="DG139" s="21">
        <f t="shared" si="270"/>
        <v>20.27</v>
      </c>
      <c r="DH139" s="21">
        <f t="shared" si="263"/>
        <v>20.94</v>
      </c>
      <c r="DI139" s="21">
        <f t="shared" si="264"/>
        <v>20.27</v>
      </c>
      <c r="DJ139" s="26"/>
      <c r="DK139" s="26"/>
      <c r="DL139" s="26"/>
      <c r="DM139" s="26"/>
      <c r="DN139" s="26"/>
      <c r="DO139" s="26"/>
      <c r="DP139" s="26">
        <f t="shared" si="275"/>
        <v>122.27999999999999</v>
      </c>
      <c r="DQ139" s="21">
        <f t="shared" si="266"/>
        <v>254.01</v>
      </c>
      <c r="DR139" s="21">
        <f t="shared" si="267"/>
        <v>1115.99</v>
      </c>
    </row>
    <row r="140" spans="2:122" ht="24.75">
      <c r="B140" s="37">
        <v>42921</v>
      </c>
      <c r="C140" s="68" t="s">
        <v>372</v>
      </c>
      <c r="D140" s="68" t="s">
        <v>373</v>
      </c>
      <c r="E140" s="38" t="s">
        <v>374</v>
      </c>
      <c r="F140" s="39" t="s">
        <v>375</v>
      </c>
      <c r="G140" s="54">
        <v>1666.75</v>
      </c>
      <c r="H140" s="21">
        <f t="shared" si="198"/>
        <v>166.67500000000001</v>
      </c>
      <c r="I140" s="21">
        <f t="shared" si="199"/>
        <v>1500.075</v>
      </c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21"/>
      <c r="CM140" s="21"/>
      <c r="CN140" s="21"/>
      <c r="CO140" s="26"/>
      <c r="CP140" s="21"/>
      <c r="CQ140" s="21"/>
      <c r="CR140" s="21"/>
      <c r="CS140" s="21"/>
      <c r="CT140" s="27"/>
      <c r="CU140" s="21"/>
      <c r="CV140" s="21">
        <f>ROUND((I140/5/365*26),2)</f>
        <v>21.37</v>
      </c>
      <c r="CW140" s="21">
        <f t="shared" si="255"/>
        <v>25.48</v>
      </c>
      <c r="CX140" s="21">
        <f t="shared" si="256"/>
        <v>24.66</v>
      </c>
      <c r="CY140" s="21">
        <f t="shared" si="257"/>
        <v>25.48</v>
      </c>
      <c r="CZ140" s="21">
        <f t="shared" si="258"/>
        <v>24.66</v>
      </c>
      <c r="DA140" s="21">
        <f t="shared" si="259"/>
        <v>25.48</v>
      </c>
      <c r="DB140" s="26">
        <f t="shared" si="274"/>
        <v>147.13</v>
      </c>
      <c r="DC140" s="26">
        <f t="shared" si="261"/>
        <v>147.13</v>
      </c>
      <c r="DD140" s="21">
        <f t="shared" si="262"/>
        <v>25.48</v>
      </c>
      <c r="DE140" s="21">
        <f t="shared" si="268"/>
        <v>23.01</v>
      </c>
      <c r="DF140" s="21">
        <f t="shared" si="269"/>
        <v>25.48</v>
      </c>
      <c r="DG140" s="21">
        <f t="shared" si="270"/>
        <v>24.66</v>
      </c>
      <c r="DH140" s="21">
        <f t="shared" si="263"/>
        <v>25.48</v>
      </c>
      <c r="DI140" s="21">
        <f t="shared" si="264"/>
        <v>24.66</v>
      </c>
      <c r="DJ140" s="26"/>
      <c r="DK140" s="26"/>
      <c r="DL140" s="26"/>
      <c r="DM140" s="26"/>
      <c r="DN140" s="26"/>
      <c r="DO140" s="26"/>
      <c r="DP140" s="26">
        <f t="shared" si="275"/>
        <v>148.77000000000001</v>
      </c>
      <c r="DQ140" s="21">
        <f t="shared" si="266"/>
        <v>295.89999999999998</v>
      </c>
      <c r="DR140" s="21">
        <f t="shared" si="267"/>
        <v>1370.85</v>
      </c>
    </row>
    <row r="141" spans="2:122" ht="24.75">
      <c r="B141" s="37">
        <v>42921</v>
      </c>
      <c r="C141" s="68" t="s">
        <v>376</v>
      </c>
      <c r="D141" s="68" t="s">
        <v>377</v>
      </c>
      <c r="E141" s="38" t="s">
        <v>374</v>
      </c>
      <c r="F141" s="39" t="s">
        <v>378</v>
      </c>
      <c r="G141" s="54">
        <v>760.49</v>
      </c>
      <c r="H141" s="21">
        <f t="shared" si="198"/>
        <v>76.049000000000007</v>
      </c>
      <c r="I141" s="21">
        <f t="shared" si="199"/>
        <v>684.44100000000003</v>
      </c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21"/>
      <c r="CM141" s="21"/>
      <c r="CN141" s="21"/>
      <c r="CO141" s="26"/>
      <c r="CP141" s="21"/>
      <c r="CQ141" s="21"/>
      <c r="CR141" s="21"/>
      <c r="CS141" s="21"/>
      <c r="CT141" s="27"/>
      <c r="CU141" s="21"/>
      <c r="CV141" s="21">
        <f>ROUND((I141/5/365*26),2)</f>
        <v>9.75</v>
      </c>
      <c r="CW141" s="21">
        <f t="shared" si="255"/>
        <v>11.63</v>
      </c>
      <c r="CX141" s="21">
        <f t="shared" si="256"/>
        <v>11.25</v>
      </c>
      <c r="CY141" s="21">
        <f t="shared" si="257"/>
        <v>11.63</v>
      </c>
      <c r="CZ141" s="21">
        <f t="shared" si="258"/>
        <v>11.25</v>
      </c>
      <c r="DA141" s="21">
        <f t="shared" si="259"/>
        <v>11.63</v>
      </c>
      <c r="DB141" s="26">
        <f t="shared" si="274"/>
        <v>67.14</v>
      </c>
      <c r="DC141" s="26">
        <f t="shared" si="261"/>
        <v>67.14</v>
      </c>
      <c r="DD141" s="21">
        <f t="shared" si="262"/>
        <v>11.63</v>
      </c>
      <c r="DE141" s="21">
        <f t="shared" si="268"/>
        <v>10.5</v>
      </c>
      <c r="DF141" s="21">
        <f t="shared" si="269"/>
        <v>11.63</v>
      </c>
      <c r="DG141" s="21">
        <f t="shared" si="270"/>
        <v>11.25</v>
      </c>
      <c r="DH141" s="21">
        <f t="shared" si="263"/>
        <v>11.63</v>
      </c>
      <c r="DI141" s="21">
        <f t="shared" si="264"/>
        <v>11.25</v>
      </c>
      <c r="DJ141" s="26"/>
      <c r="DK141" s="26"/>
      <c r="DL141" s="26"/>
      <c r="DM141" s="26"/>
      <c r="DN141" s="26"/>
      <c r="DO141" s="26"/>
      <c r="DP141" s="26">
        <f t="shared" si="275"/>
        <v>67.890000000000015</v>
      </c>
      <c r="DQ141" s="21">
        <f t="shared" si="266"/>
        <v>135.03</v>
      </c>
      <c r="DR141" s="21">
        <f t="shared" si="267"/>
        <v>625.46</v>
      </c>
    </row>
    <row r="142" spans="2:122" ht="24.75">
      <c r="B142" s="37">
        <v>42921</v>
      </c>
      <c r="C142" s="39" t="s">
        <v>379</v>
      </c>
      <c r="D142" s="68" t="s">
        <v>380</v>
      </c>
      <c r="E142" s="38" t="s">
        <v>374</v>
      </c>
      <c r="F142" s="39" t="s">
        <v>381</v>
      </c>
      <c r="G142" s="54">
        <v>760.49</v>
      </c>
      <c r="H142" s="21">
        <f t="shared" si="198"/>
        <v>76.049000000000007</v>
      </c>
      <c r="I142" s="21">
        <f t="shared" si="199"/>
        <v>684.44100000000003</v>
      </c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21"/>
      <c r="CM142" s="21"/>
      <c r="CN142" s="21"/>
      <c r="CO142" s="26"/>
      <c r="CP142" s="21"/>
      <c r="CQ142" s="21"/>
      <c r="CR142" s="21"/>
      <c r="CS142" s="21"/>
      <c r="CT142" s="27"/>
      <c r="CU142" s="21"/>
      <c r="CV142" s="21">
        <f>ROUND((I142/5/365*26),2)</f>
        <v>9.75</v>
      </c>
      <c r="CW142" s="21">
        <f t="shared" si="255"/>
        <v>11.63</v>
      </c>
      <c r="CX142" s="21">
        <f t="shared" si="256"/>
        <v>11.25</v>
      </c>
      <c r="CY142" s="21">
        <f t="shared" si="257"/>
        <v>11.63</v>
      </c>
      <c r="CZ142" s="21">
        <f t="shared" si="258"/>
        <v>11.25</v>
      </c>
      <c r="DA142" s="21">
        <f t="shared" si="259"/>
        <v>11.63</v>
      </c>
      <c r="DB142" s="26">
        <f t="shared" si="274"/>
        <v>67.14</v>
      </c>
      <c r="DC142" s="26">
        <f t="shared" si="261"/>
        <v>67.14</v>
      </c>
      <c r="DD142" s="21">
        <f t="shared" si="262"/>
        <v>11.63</v>
      </c>
      <c r="DE142" s="21">
        <f t="shared" si="268"/>
        <v>10.5</v>
      </c>
      <c r="DF142" s="21">
        <f t="shared" si="269"/>
        <v>11.63</v>
      </c>
      <c r="DG142" s="21">
        <f t="shared" si="270"/>
        <v>11.25</v>
      </c>
      <c r="DH142" s="21">
        <f t="shared" si="263"/>
        <v>11.63</v>
      </c>
      <c r="DI142" s="21">
        <f t="shared" si="264"/>
        <v>11.25</v>
      </c>
      <c r="DJ142" s="26"/>
      <c r="DK142" s="26"/>
      <c r="DL142" s="26"/>
      <c r="DM142" s="26"/>
      <c r="DN142" s="26"/>
      <c r="DO142" s="26"/>
      <c r="DP142" s="26">
        <f t="shared" si="275"/>
        <v>67.890000000000015</v>
      </c>
      <c r="DQ142" s="21">
        <f t="shared" si="266"/>
        <v>135.03</v>
      </c>
      <c r="DR142" s="21">
        <f t="shared" si="267"/>
        <v>625.46</v>
      </c>
    </row>
    <row r="143" spans="2:122" ht="24.75">
      <c r="B143" s="37">
        <v>42921</v>
      </c>
      <c r="C143" s="39" t="s">
        <v>379</v>
      </c>
      <c r="D143" s="68" t="s">
        <v>382</v>
      </c>
      <c r="E143" s="38" t="s">
        <v>374</v>
      </c>
      <c r="F143" s="39" t="s">
        <v>383</v>
      </c>
      <c r="G143" s="54">
        <v>760.49</v>
      </c>
      <c r="H143" s="21">
        <f t="shared" si="198"/>
        <v>76.049000000000007</v>
      </c>
      <c r="I143" s="21">
        <f t="shared" si="199"/>
        <v>684.44100000000003</v>
      </c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21"/>
      <c r="CM143" s="21"/>
      <c r="CN143" s="21"/>
      <c r="CO143" s="26"/>
      <c r="CP143" s="21"/>
      <c r="CQ143" s="21"/>
      <c r="CR143" s="21"/>
      <c r="CS143" s="21"/>
      <c r="CT143" s="27"/>
      <c r="CU143" s="21"/>
      <c r="CV143" s="21">
        <f>ROUND((I143/5/365*26),2)</f>
        <v>9.75</v>
      </c>
      <c r="CW143" s="21">
        <f t="shared" si="255"/>
        <v>11.63</v>
      </c>
      <c r="CX143" s="21">
        <f t="shared" si="256"/>
        <v>11.25</v>
      </c>
      <c r="CY143" s="21">
        <f t="shared" si="257"/>
        <v>11.63</v>
      </c>
      <c r="CZ143" s="21">
        <f t="shared" si="258"/>
        <v>11.25</v>
      </c>
      <c r="DA143" s="21">
        <f t="shared" si="259"/>
        <v>11.63</v>
      </c>
      <c r="DB143" s="26">
        <f t="shared" si="274"/>
        <v>67.14</v>
      </c>
      <c r="DC143" s="26">
        <f t="shared" si="261"/>
        <v>67.14</v>
      </c>
      <c r="DD143" s="21">
        <f t="shared" si="262"/>
        <v>11.63</v>
      </c>
      <c r="DE143" s="21">
        <f t="shared" si="268"/>
        <v>10.5</v>
      </c>
      <c r="DF143" s="21">
        <f t="shared" si="269"/>
        <v>11.63</v>
      </c>
      <c r="DG143" s="21">
        <f t="shared" si="270"/>
        <v>11.25</v>
      </c>
      <c r="DH143" s="21">
        <f t="shared" si="263"/>
        <v>11.63</v>
      </c>
      <c r="DI143" s="21">
        <f t="shared" si="264"/>
        <v>11.25</v>
      </c>
      <c r="DJ143" s="26"/>
      <c r="DK143" s="26"/>
      <c r="DL143" s="26"/>
      <c r="DM143" s="26"/>
      <c r="DN143" s="26"/>
      <c r="DO143" s="26"/>
      <c r="DP143" s="26">
        <f t="shared" si="275"/>
        <v>67.890000000000015</v>
      </c>
      <c r="DQ143" s="21">
        <f t="shared" si="266"/>
        <v>135.03</v>
      </c>
      <c r="DR143" s="21">
        <f t="shared" si="267"/>
        <v>625.46</v>
      </c>
    </row>
    <row r="144" spans="2:122" ht="16.5">
      <c r="B144" s="37">
        <v>42930</v>
      </c>
      <c r="C144" s="47" t="s">
        <v>384</v>
      </c>
      <c r="D144" s="47" t="s">
        <v>385</v>
      </c>
      <c r="E144" s="39" t="s">
        <v>306</v>
      </c>
      <c r="F144" s="36" t="s">
        <v>386</v>
      </c>
      <c r="G144" s="40">
        <v>859.27</v>
      </c>
      <c r="H144" s="21">
        <f t="shared" si="198"/>
        <v>85.927000000000007</v>
      </c>
      <c r="I144" s="21">
        <f t="shared" si="199"/>
        <v>773.34299999999996</v>
      </c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21"/>
      <c r="CM144" s="21"/>
      <c r="CN144" s="21"/>
      <c r="CO144" s="26"/>
      <c r="CP144" s="21"/>
      <c r="CQ144" s="21"/>
      <c r="CR144" s="21"/>
      <c r="CS144" s="21"/>
      <c r="CT144" s="27"/>
      <c r="CU144" s="21"/>
      <c r="CV144" s="21">
        <f t="shared" ref="CV144:CV158" si="277">ROUND((I144/5/365*17),2)</f>
        <v>7.2</v>
      </c>
      <c r="CW144" s="21">
        <f t="shared" si="255"/>
        <v>13.14</v>
      </c>
      <c r="CX144" s="21">
        <f t="shared" si="256"/>
        <v>12.71</v>
      </c>
      <c r="CY144" s="21">
        <f t="shared" si="257"/>
        <v>13.14</v>
      </c>
      <c r="CZ144" s="21">
        <f t="shared" si="258"/>
        <v>12.71</v>
      </c>
      <c r="DA144" s="21">
        <f t="shared" si="259"/>
        <v>13.14</v>
      </c>
      <c r="DB144" s="26">
        <f t="shared" si="274"/>
        <v>72.039999999999992</v>
      </c>
      <c r="DC144" s="26">
        <f t="shared" si="261"/>
        <v>72.040000000000006</v>
      </c>
      <c r="DD144" s="21">
        <f t="shared" si="262"/>
        <v>13.14</v>
      </c>
      <c r="DE144" s="21">
        <f t="shared" si="268"/>
        <v>11.86</v>
      </c>
      <c r="DF144" s="21">
        <f t="shared" si="269"/>
        <v>13.14</v>
      </c>
      <c r="DG144" s="21">
        <f t="shared" si="270"/>
        <v>12.71</v>
      </c>
      <c r="DH144" s="21">
        <f t="shared" si="263"/>
        <v>13.14</v>
      </c>
      <c r="DI144" s="21">
        <f t="shared" si="264"/>
        <v>12.71</v>
      </c>
      <c r="DJ144" s="26"/>
      <c r="DK144" s="26"/>
      <c r="DL144" s="26"/>
      <c r="DM144" s="26"/>
      <c r="DN144" s="26"/>
      <c r="DO144" s="26"/>
      <c r="DP144" s="26">
        <f t="shared" si="275"/>
        <v>76.7</v>
      </c>
      <c r="DQ144" s="21">
        <f t="shared" si="266"/>
        <v>148.74</v>
      </c>
      <c r="DR144" s="21">
        <f t="shared" si="267"/>
        <v>710.53</v>
      </c>
    </row>
    <row r="145" spans="2:122" ht="16.5">
      <c r="B145" s="37">
        <v>42930</v>
      </c>
      <c r="C145" s="47" t="s">
        <v>384</v>
      </c>
      <c r="D145" s="47" t="s">
        <v>387</v>
      </c>
      <c r="E145" s="39" t="s">
        <v>142</v>
      </c>
      <c r="F145" s="36" t="s">
        <v>388</v>
      </c>
      <c r="G145" s="40">
        <v>859.27</v>
      </c>
      <c r="H145" s="21">
        <f t="shared" si="198"/>
        <v>85.927000000000007</v>
      </c>
      <c r="I145" s="21">
        <f t="shared" si="199"/>
        <v>773.34299999999996</v>
      </c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21"/>
      <c r="CM145" s="21"/>
      <c r="CN145" s="21"/>
      <c r="CO145" s="26"/>
      <c r="CP145" s="21"/>
      <c r="CQ145" s="21"/>
      <c r="CR145" s="21"/>
      <c r="CS145" s="21"/>
      <c r="CT145" s="27"/>
      <c r="CU145" s="21"/>
      <c r="CV145" s="21">
        <f t="shared" si="277"/>
        <v>7.2</v>
      </c>
      <c r="CW145" s="21">
        <f t="shared" si="255"/>
        <v>13.14</v>
      </c>
      <c r="CX145" s="21">
        <f t="shared" si="256"/>
        <v>12.71</v>
      </c>
      <c r="CY145" s="21">
        <f t="shared" si="257"/>
        <v>13.14</v>
      </c>
      <c r="CZ145" s="21">
        <f t="shared" si="258"/>
        <v>12.71</v>
      </c>
      <c r="DA145" s="21">
        <f t="shared" si="259"/>
        <v>13.14</v>
      </c>
      <c r="DB145" s="26">
        <f t="shared" si="274"/>
        <v>72.039999999999992</v>
      </c>
      <c r="DC145" s="26">
        <f t="shared" si="261"/>
        <v>72.040000000000006</v>
      </c>
      <c r="DD145" s="21">
        <f t="shared" si="262"/>
        <v>13.14</v>
      </c>
      <c r="DE145" s="21">
        <f t="shared" si="268"/>
        <v>11.86</v>
      </c>
      <c r="DF145" s="21">
        <f t="shared" si="269"/>
        <v>13.14</v>
      </c>
      <c r="DG145" s="21">
        <f t="shared" si="270"/>
        <v>12.71</v>
      </c>
      <c r="DH145" s="21">
        <f t="shared" si="263"/>
        <v>13.14</v>
      </c>
      <c r="DI145" s="21">
        <f t="shared" si="264"/>
        <v>12.71</v>
      </c>
      <c r="DJ145" s="26"/>
      <c r="DK145" s="26"/>
      <c r="DL145" s="26"/>
      <c r="DM145" s="26"/>
      <c r="DN145" s="26"/>
      <c r="DO145" s="26"/>
      <c r="DP145" s="26">
        <f t="shared" si="275"/>
        <v>76.7</v>
      </c>
      <c r="DQ145" s="21">
        <f t="shared" si="266"/>
        <v>148.74</v>
      </c>
      <c r="DR145" s="21">
        <f t="shared" si="267"/>
        <v>710.53</v>
      </c>
    </row>
    <row r="146" spans="2:122" ht="16.5">
      <c r="B146" s="37">
        <v>42930</v>
      </c>
      <c r="C146" s="47" t="s">
        <v>384</v>
      </c>
      <c r="D146" s="47" t="s">
        <v>389</v>
      </c>
      <c r="E146" s="39" t="s">
        <v>283</v>
      </c>
      <c r="F146" s="36" t="s">
        <v>390</v>
      </c>
      <c r="G146" s="40">
        <v>859.27</v>
      </c>
      <c r="H146" s="21">
        <f t="shared" si="198"/>
        <v>85.927000000000007</v>
      </c>
      <c r="I146" s="21">
        <f t="shared" si="199"/>
        <v>773.34299999999996</v>
      </c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21"/>
      <c r="CM146" s="21"/>
      <c r="CN146" s="21"/>
      <c r="CO146" s="26"/>
      <c r="CP146" s="21"/>
      <c r="CQ146" s="21"/>
      <c r="CR146" s="21"/>
      <c r="CS146" s="21"/>
      <c r="CT146" s="27"/>
      <c r="CU146" s="21"/>
      <c r="CV146" s="21">
        <f t="shared" si="277"/>
        <v>7.2</v>
      </c>
      <c r="CW146" s="21">
        <f t="shared" si="255"/>
        <v>13.14</v>
      </c>
      <c r="CX146" s="21">
        <f t="shared" si="256"/>
        <v>12.71</v>
      </c>
      <c r="CY146" s="21">
        <f t="shared" si="257"/>
        <v>13.14</v>
      </c>
      <c r="CZ146" s="21">
        <f t="shared" si="258"/>
        <v>12.71</v>
      </c>
      <c r="DA146" s="21">
        <f t="shared" si="259"/>
        <v>13.14</v>
      </c>
      <c r="DB146" s="26">
        <f t="shared" si="274"/>
        <v>72.039999999999992</v>
      </c>
      <c r="DC146" s="26">
        <f t="shared" si="261"/>
        <v>72.040000000000006</v>
      </c>
      <c r="DD146" s="21">
        <f t="shared" si="262"/>
        <v>13.14</v>
      </c>
      <c r="DE146" s="21">
        <f t="shared" si="268"/>
        <v>11.86</v>
      </c>
      <c r="DF146" s="21">
        <f t="shared" si="269"/>
        <v>13.14</v>
      </c>
      <c r="DG146" s="21">
        <f t="shared" si="270"/>
        <v>12.71</v>
      </c>
      <c r="DH146" s="21">
        <f t="shared" si="263"/>
        <v>13.14</v>
      </c>
      <c r="DI146" s="21">
        <f t="shared" si="264"/>
        <v>12.71</v>
      </c>
      <c r="DJ146" s="26"/>
      <c r="DK146" s="26"/>
      <c r="DL146" s="26"/>
      <c r="DM146" s="26"/>
      <c r="DN146" s="26"/>
      <c r="DO146" s="26"/>
      <c r="DP146" s="26">
        <f t="shared" si="275"/>
        <v>76.7</v>
      </c>
      <c r="DQ146" s="21">
        <f t="shared" si="266"/>
        <v>148.74</v>
      </c>
      <c r="DR146" s="21">
        <f t="shared" si="267"/>
        <v>710.53</v>
      </c>
    </row>
    <row r="147" spans="2:122" ht="16.5">
      <c r="B147" s="37">
        <v>42930</v>
      </c>
      <c r="C147" s="47" t="s">
        <v>384</v>
      </c>
      <c r="D147" s="47" t="s">
        <v>391</v>
      </c>
      <c r="E147" s="39" t="s">
        <v>286</v>
      </c>
      <c r="F147" s="36" t="s">
        <v>392</v>
      </c>
      <c r="G147" s="40">
        <v>859.27</v>
      </c>
      <c r="H147" s="21">
        <f t="shared" si="198"/>
        <v>85.927000000000007</v>
      </c>
      <c r="I147" s="21">
        <f t="shared" si="199"/>
        <v>773.34299999999996</v>
      </c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21"/>
      <c r="CM147" s="21"/>
      <c r="CN147" s="21"/>
      <c r="CO147" s="26"/>
      <c r="CP147" s="21"/>
      <c r="CQ147" s="21"/>
      <c r="CR147" s="21"/>
      <c r="CS147" s="21"/>
      <c r="CT147" s="27"/>
      <c r="CU147" s="21"/>
      <c r="CV147" s="21">
        <f t="shared" si="277"/>
        <v>7.2</v>
      </c>
      <c r="CW147" s="21">
        <f t="shared" si="255"/>
        <v>13.14</v>
      </c>
      <c r="CX147" s="21">
        <f t="shared" si="256"/>
        <v>12.71</v>
      </c>
      <c r="CY147" s="21">
        <f t="shared" si="257"/>
        <v>13.14</v>
      </c>
      <c r="CZ147" s="21">
        <f t="shared" si="258"/>
        <v>12.71</v>
      </c>
      <c r="DA147" s="21">
        <f t="shared" si="259"/>
        <v>13.14</v>
      </c>
      <c r="DB147" s="26">
        <f t="shared" si="274"/>
        <v>72.039999999999992</v>
      </c>
      <c r="DC147" s="26">
        <f t="shared" si="261"/>
        <v>72.040000000000006</v>
      </c>
      <c r="DD147" s="21">
        <f t="shared" si="262"/>
        <v>13.14</v>
      </c>
      <c r="DE147" s="21">
        <f t="shared" si="268"/>
        <v>11.86</v>
      </c>
      <c r="DF147" s="21">
        <f t="shared" si="269"/>
        <v>13.14</v>
      </c>
      <c r="DG147" s="21">
        <f t="shared" si="270"/>
        <v>12.71</v>
      </c>
      <c r="DH147" s="21">
        <f t="shared" si="263"/>
        <v>13.14</v>
      </c>
      <c r="DI147" s="21">
        <f t="shared" si="264"/>
        <v>12.71</v>
      </c>
      <c r="DJ147" s="26"/>
      <c r="DK147" s="26"/>
      <c r="DL147" s="26"/>
      <c r="DM147" s="26"/>
      <c r="DN147" s="26"/>
      <c r="DO147" s="26"/>
      <c r="DP147" s="26">
        <f t="shared" si="275"/>
        <v>76.7</v>
      </c>
      <c r="DQ147" s="21">
        <f t="shared" si="266"/>
        <v>148.74</v>
      </c>
      <c r="DR147" s="21">
        <f t="shared" si="267"/>
        <v>710.53</v>
      </c>
    </row>
    <row r="148" spans="2:122" ht="16.5">
      <c r="B148" s="37">
        <v>42930</v>
      </c>
      <c r="C148" s="47" t="s">
        <v>384</v>
      </c>
      <c r="D148" s="47" t="s">
        <v>393</v>
      </c>
      <c r="E148" s="39" t="s">
        <v>289</v>
      </c>
      <c r="F148" s="36" t="s">
        <v>394</v>
      </c>
      <c r="G148" s="40">
        <v>859.27</v>
      </c>
      <c r="H148" s="21">
        <f t="shared" si="198"/>
        <v>85.927000000000007</v>
      </c>
      <c r="I148" s="21">
        <f t="shared" si="199"/>
        <v>773.34299999999996</v>
      </c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21"/>
      <c r="CM148" s="21"/>
      <c r="CN148" s="21"/>
      <c r="CO148" s="26"/>
      <c r="CP148" s="21"/>
      <c r="CQ148" s="21"/>
      <c r="CR148" s="21"/>
      <c r="CS148" s="21"/>
      <c r="CT148" s="27"/>
      <c r="CU148" s="21"/>
      <c r="CV148" s="21">
        <f t="shared" si="277"/>
        <v>7.2</v>
      </c>
      <c r="CW148" s="21">
        <f t="shared" si="255"/>
        <v>13.14</v>
      </c>
      <c r="CX148" s="21">
        <f t="shared" si="256"/>
        <v>12.71</v>
      </c>
      <c r="CY148" s="21">
        <f t="shared" si="257"/>
        <v>13.14</v>
      </c>
      <c r="CZ148" s="21">
        <f t="shared" si="258"/>
        <v>12.71</v>
      </c>
      <c r="DA148" s="21">
        <f t="shared" si="259"/>
        <v>13.14</v>
      </c>
      <c r="DB148" s="26">
        <f t="shared" si="274"/>
        <v>72.039999999999992</v>
      </c>
      <c r="DC148" s="26">
        <f t="shared" si="261"/>
        <v>72.040000000000006</v>
      </c>
      <c r="DD148" s="21">
        <f t="shared" si="262"/>
        <v>13.14</v>
      </c>
      <c r="DE148" s="21">
        <f t="shared" si="268"/>
        <v>11.86</v>
      </c>
      <c r="DF148" s="21">
        <f t="shared" si="269"/>
        <v>13.14</v>
      </c>
      <c r="DG148" s="21">
        <f t="shared" si="270"/>
        <v>12.71</v>
      </c>
      <c r="DH148" s="21">
        <f t="shared" si="263"/>
        <v>13.14</v>
      </c>
      <c r="DI148" s="21">
        <f t="shared" si="264"/>
        <v>12.71</v>
      </c>
      <c r="DJ148" s="26"/>
      <c r="DK148" s="26"/>
      <c r="DL148" s="26"/>
      <c r="DM148" s="26"/>
      <c r="DN148" s="26"/>
      <c r="DO148" s="26"/>
      <c r="DP148" s="26">
        <f t="shared" si="275"/>
        <v>76.7</v>
      </c>
      <c r="DQ148" s="21">
        <f t="shared" si="266"/>
        <v>148.74</v>
      </c>
      <c r="DR148" s="21">
        <f t="shared" si="267"/>
        <v>710.53</v>
      </c>
    </row>
    <row r="149" spans="2:122" ht="16.5">
      <c r="B149" s="37">
        <v>42930</v>
      </c>
      <c r="C149" s="47" t="s">
        <v>384</v>
      </c>
      <c r="D149" s="47" t="s">
        <v>395</v>
      </c>
      <c r="E149" s="39" t="s">
        <v>186</v>
      </c>
      <c r="F149" s="36" t="s">
        <v>396</v>
      </c>
      <c r="G149" s="40">
        <v>859.27</v>
      </c>
      <c r="H149" s="21">
        <f t="shared" si="198"/>
        <v>85.927000000000007</v>
      </c>
      <c r="I149" s="21">
        <f t="shared" si="199"/>
        <v>773.34299999999996</v>
      </c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21"/>
      <c r="CM149" s="21"/>
      <c r="CN149" s="21"/>
      <c r="CO149" s="26"/>
      <c r="CP149" s="21"/>
      <c r="CQ149" s="21"/>
      <c r="CR149" s="21"/>
      <c r="CS149" s="21"/>
      <c r="CT149" s="27"/>
      <c r="CU149" s="21"/>
      <c r="CV149" s="21">
        <f t="shared" si="277"/>
        <v>7.2</v>
      </c>
      <c r="CW149" s="21">
        <f t="shared" si="255"/>
        <v>13.14</v>
      </c>
      <c r="CX149" s="21">
        <f t="shared" si="256"/>
        <v>12.71</v>
      </c>
      <c r="CY149" s="21">
        <f t="shared" si="257"/>
        <v>13.14</v>
      </c>
      <c r="CZ149" s="21">
        <f t="shared" si="258"/>
        <v>12.71</v>
      </c>
      <c r="DA149" s="21">
        <f t="shared" si="259"/>
        <v>13.14</v>
      </c>
      <c r="DB149" s="26">
        <f t="shared" si="274"/>
        <v>72.039999999999992</v>
      </c>
      <c r="DC149" s="26">
        <f t="shared" si="261"/>
        <v>72.040000000000006</v>
      </c>
      <c r="DD149" s="21">
        <f t="shared" si="262"/>
        <v>13.14</v>
      </c>
      <c r="DE149" s="21">
        <f t="shared" si="268"/>
        <v>11.86</v>
      </c>
      <c r="DF149" s="21">
        <f t="shared" si="269"/>
        <v>13.14</v>
      </c>
      <c r="DG149" s="21">
        <f t="shared" si="270"/>
        <v>12.71</v>
      </c>
      <c r="DH149" s="21">
        <f t="shared" si="263"/>
        <v>13.14</v>
      </c>
      <c r="DI149" s="21">
        <f t="shared" si="264"/>
        <v>12.71</v>
      </c>
      <c r="DJ149" s="26"/>
      <c r="DK149" s="26"/>
      <c r="DL149" s="26"/>
      <c r="DM149" s="26"/>
      <c r="DN149" s="26"/>
      <c r="DO149" s="26"/>
      <c r="DP149" s="26">
        <f t="shared" si="275"/>
        <v>76.7</v>
      </c>
      <c r="DQ149" s="21">
        <f t="shared" si="266"/>
        <v>148.74</v>
      </c>
      <c r="DR149" s="21">
        <f t="shared" si="267"/>
        <v>710.53</v>
      </c>
    </row>
    <row r="150" spans="2:122" ht="16.5">
      <c r="B150" s="37">
        <v>42930</v>
      </c>
      <c r="C150" s="47" t="s">
        <v>384</v>
      </c>
      <c r="D150" s="47" t="s">
        <v>397</v>
      </c>
      <c r="E150" s="39" t="s">
        <v>319</v>
      </c>
      <c r="F150" s="36" t="s">
        <v>398</v>
      </c>
      <c r="G150" s="40">
        <v>859.27</v>
      </c>
      <c r="H150" s="21">
        <f t="shared" ref="H150:H170" si="278">(G150*0.1)</f>
        <v>85.927000000000007</v>
      </c>
      <c r="I150" s="21">
        <f t="shared" ref="I150:I169" si="279">(G150*0.9)</f>
        <v>773.34299999999996</v>
      </c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21"/>
      <c r="CM150" s="21"/>
      <c r="CN150" s="21"/>
      <c r="CO150" s="26"/>
      <c r="CP150" s="21"/>
      <c r="CQ150" s="21"/>
      <c r="CR150" s="21"/>
      <c r="CS150" s="21"/>
      <c r="CT150" s="27"/>
      <c r="CU150" s="21"/>
      <c r="CV150" s="21">
        <f t="shared" si="277"/>
        <v>7.2</v>
      </c>
      <c r="CW150" s="21">
        <f t="shared" ref="CW150:CW158" si="280">ROUND((I150/5/365*31),2)</f>
        <v>13.14</v>
      </c>
      <c r="CX150" s="21">
        <f t="shared" ref="CX150:CX167" si="281">ROUND((I150/5/365*30),2)</f>
        <v>12.71</v>
      </c>
      <c r="CY150" s="21">
        <f t="shared" ref="CY150:CY168" si="282">ROUND((I150/5/365*31),2)</f>
        <v>13.14</v>
      </c>
      <c r="CZ150" s="21">
        <f t="shared" ref="CZ150:CZ169" si="283">ROUND((I150/5/365*30),2)</f>
        <v>12.71</v>
      </c>
      <c r="DA150" s="21">
        <f t="shared" ref="DA150:DA168" si="284">ROUND((I150/5/365*31),2)</f>
        <v>13.14</v>
      </c>
      <c r="DB150" s="26">
        <f t="shared" ref="DB150:DB170" si="285">SUM(CP150:DA150)</f>
        <v>72.039999999999992</v>
      </c>
      <c r="DC150" s="26">
        <f t="shared" ref="DC150:DC170" si="286">ROUND((CO150+DB150),2)</f>
        <v>72.040000000000006</v>
      </c>
      <c r="DD150" s="21">
        <f t="shared" ref="DD150:DD170" si="287">ROUND((I150/5/365*31),2)</f>
        <v>13.14</v>
      </c>
      <c r="DE150" s="21">
        <f t="shared" si="268"/>
        <v>11.86</v>
      </c>
      <c r="DF150" s="21">
        <f t="shared" si="269"/>
        <v>13.14</v>
      </c>
      <c r="DG150" s="21">
        <f t="shared" si="270"/>
        <v>12.71</v>
      </c>
      <c r="DH150" s="21">
        <f t="shared" ref="DH150:DH170" si="288">ROUND((I150/5/365*31),2)</f>
        <v>13.14</v>
      </c>
      <c r="DI150" s="21">
        <f t="shared" ref="DI150:DI170" si="289">ROUND((I150/5/365*30),2)</f>
        <v>12.71</v>
      </c>
      <c r="DJ150" s="26"/>
      <c r="DK150" s="26"/>
      <c r="DL150" s="26"/>
      <c r="DM150" s="26"/>
      <c r="DN150" s="26"/>
      <c r="DO150" s="26"/>
      <c r="DP150" s="26">
        <f t="shared" si="275"/>
        <v>76.7</v>
      </c>
      <c r="DQ150" s="21">
        <f t="shared" ref="DQ150:DQ170" si="290">ROUND((DC150+DD150+DE150+DF150+DG150+DH150+DI150+DJ150+DK150+DL150+DM150+DN150+DO150),2)</f>
        <v>148.74</v>
      </c>
      <c r="DR150" s="21">
        <f t="shared" ref="DR150:DR170" si="291">SUM(G150-DQ150)</f>
        <v>710.53</v>
      </c>
    </row>
    <row r="151" spans="2:122" ht="16.5">
      <c r="B151" s="37">
        <v>42930</v>
      </c>
      <c r="C151" s="47" t="s">
        <v>384</v>
      </c>
      <c r="D151" s="47" t="s">
        <v>399</v>
      </c>
      <c r="E151" s="39" t="s">
        <v>136</v>
      </c>
      <c r="F151" s="36" t="s">
        <v>400</v>
      </c>
      <c r="G151" s="40">
        <v>859.27</v>
      </c>
      <c r="H151" s="21">
        <f t="shared" si="278"/>
        <v>85.927000000000007</v>
      </c>
      <c r="I151" s="21">
        <f t="shared" si="279"/>
        <v>773.34299999999996</v>
      </c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21"/>
      <c r="CM151" s="21"/>
      <c r="CN151" s="21"/>
      <c r="CO151" s="26"/>
      <c r="CP151" s="21"/>
      <c r="CQ151" s="21"/>
      <c r="CR151" s="21"/>
      <c r="CS151" s="21"/>
      <c r="CT151" s="27"/>
      <c r="CU151" s="21"/>
      <c r="CV151" s="21">
        <f t="shared" si="277"/>
        <v>7.2</v>
      </c>
      <c r="CW151" s="21">
        <f t="shared" si="280"/>
        <v>13.14</v>
      </c>
      <c r="CX151" s="21">
        <f t="shared" si="281"/>
        <v>12.71</v>
      </c>
      <c r="CY151" s="21">
        <f t="shared" si="282"/>
        <v>13.14</v>
      </c>
      <c r="CZ151" s="21">
        <f t="shared" si="283"/>
        <v>12.71</v>
      </c>
      <c r="DA151" s="21">
        <f t="shared" si="284"/>
        <v>13.14</v>
      </c>
      <c r="DB151" s="26">
        <f t="shared" si="285"/>
        <v>72.039999999999992</v>
      </c>
      <c r="DC151" s="26">
        <f t="shared" si="286"/>
        <v>72.040000000000006</v>
      </c>
      <c r="DD151" s="21">
        <f t="shared" si="287"/>
        <v>13.14</v>
      </c>
      <c r="DE151" s="21">
        <f t="shared" ref="DE151:DE170" si="292">ROUND((I151/5/365*28),2)</f>
        <v>11.86</v>
      </c>
      <c r="DF151" s="21">
        <f t="shared" ref="DF151:DF168" si="293">ROUND((I151/5/365*31),2)</f>
        <v>13.14</v>
      </c>
      <c r="DG151" s="21">
        <f t="shared" ref="DG151:DG170" si="294">ROUND((I151/5/365*30),2)</f>
        <v>12.71</v>
      </c>
      <c r="DH151" s="21">
        <f t="shared" si="288"/>
        <v>13.14</v>
      </c>
      <c r="DI151" s="21">
        <f t="shared" si="289"/>
        <v>12.71</v>
      </c>
      <c r="DJ151" s="26"/>
      <c r="DK151" s="26"/>
      <c r="DL151" s="26"/>
      <c r="DM151" s="26"/>
      <c r="DN151" s="26"/>
      <c r="DO151" s="26"/>
      <c r="DP151" s="26">
        <f t="shared" si="275"/>
        <v>76.7</v>
      </c>
      <c r="DQ151" s="21">
        <f t="shared" si="290"/>
        <v>148.74</v>
      </c>
      <c r="DR151" s="21">
        <f t="shared" si="291"/>
        <v>710.53</v>
      </c>
    </row>
    <row r="152" spans="2:122" ht="16.5">
      <c r="B152" s="37">
        <v>42930</v>
      </c>
      <c r="C152" s="47" t="s">
        <v>384</v>
      </c>
      <c r="D152" s="47" t="s">
        <v>401</v>
      </c>
      <c r="E152" s="39" t="s">
        <v>359</v>
      </c>
      <c r="F152" s="36" t="s">
        <v>402</v>
      </c>
      <c r="G152" s="40">
        <v>859.27</v>
      </c>
      <c r="H152" s="21">
        <f t="shared" si="278"/>
        <v>85.927000000000007</v>
      </c>
      <c r="I152" s="21">
        <f t="shared" si="279"/>
        <v>773.34299999999996</v>
      </c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21"/>
      <c r="CM152" s="21"/>
      <c r="CN152" s="21"/>
      <c r="CO152" s="26"/>
      <c r="CP152" s="21"/>
      <c r="CQ152" s="21"/>
      <c r="CR152" s="21"/>
      <c r="CS152" s="21"/>
      <c r="CT152" s="27"/>
      <c r="CU152" s="21"/>
      <c r="CV152" s="21">
        <f t="shared" si="277"/>
        <v>7.2</v>
      </c>
      <c r="CW152" s="21">
        <f t="shared" si="280"/>
        <v>13.14</v>
      </c>
      <c r="CX152" s="21">
        <f t="shared" si="281"/>
        <v>12.71</v>
      </c>
      <c r="CY152" s="21">
        <f t="shared" si="282"/>
        <v>13.14</v>
      </c>
      <c r="CZ152" s="21">
        <f t="shared" si="283"/>
        <v>12.71</v>
      </c>
      <c r="DA152" s="21">
        <f t="shared" si="284"/>
        <v>13.14</v>
      </c>
      <c r="DB152" s="26">
        <f t="shared" si="285"/>
        <v>72.039999999999992</v>
      </c>
      <c r="DC152" s="26">
        <f t="shared" si="286"/>
        <v>72.040000000000006</v>
      </c>
      <c r="DD152" s="21">
        <f t="shared" si="287"/>
        <v>13.14</v>
      </c>
      <c r="DE152" s="21">
        <f t="shared" si="292"/>
        <v>11.86</v>
      </c>
      <c r="DF152" s="21">
        <f t="shared" si="293"/>
        <v>13.14</v>
      </c>
      <c r="DG152" s="21">
        <f t="shared" si="294"/>
        <v>12.71</v>
      </c>
      <c r="DH152" s="21">
        <f t="shared" si="288"/>
        <v>13.14</v>
      </c>
      <c r="DI152" s="21">
        <f t="shared" si="289"/>
        <v>12.71</v>
      </c>
      <c r="DJ152" s="26"/>
      <c r="DK152" s="26"/>
      <c r="DL152" s="26"/>
      <c r="DM152" s="26"/>
      <c r="DN152" s="26"/>
      <c r="DO152" s="26"/>
      <c r="DP152" s="26">
        <f t="shared" si="275"/>
        <v>76.7</v>
      </c>
      <c r="DQ152" s="21">
        <f t="shared" si="290"/>
        <v>148.74</v>
      </c>
      <c r="DR152" s="21">
        <f t="shared" si="291"/>
        <v>710.53</v>
      </c>
    </row>
    <row r="153" spans="2:122" ht="16.5">
      <c r="B153" s="37">
        <v>42930</v>
      </c>
      <c r="C153" s="47" t="s">
        <v>384</v>
      </c>
      <c r="D153" s="47" t="s">
        <v>403</v>
      </c>
      <c r="E153" s="39" t="s">
        <v>322</v>
      </c>
      <c r="F153" s="36" t="s">
        <v>404</v>
      </c>
      <c r="G153" s="40">
        <v>859.27</v>
      </c>
      <c r="H153" s="21">
        <f t="shared" si="278"/>
        <v>85.927000000000007</v>
      </c>
      <c r="I153" s="21">
        <f t="shared" si="279"/>
        <v>773.34299999999996</v>
      </c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21"/>
      <c r="CM153" s="21"/>
      <c r="CN153" s="21"/>
      <c r="CO153" s="26"/>
      <c r="CP153" s="21"/>
      <c r="CQ153" s="21"/>
      <c r="CR153" s="21"/>
      <c r="CS153" s="21"/>
      <c r="CT153" s="27"/>
      <c r="CU153" s="21"/>
      <c r="CV153" s="21">
        <f t="shared" si="277"/>
        <v>7.2</v>
      </c>
      <c r="CW153" s="21">
        <f t="shared" si="280"/>
        <v>13.14</v>
      </c>
      <c r="CX153" s="21">
        <f t="shared" si="281"/>
        <v>12.71</v>
      </c>
      <c r="CY153" s="21">
        <f t="shared" si="282"/>
        <v>13.14</v>
      </c>
      <c r="CZ153" s="21">
        <f t="shared" si="283"/>
        <v>12.71</v>
      </c>
      <c r="DA153" s="21">
        <f t="shared" si="284"/>
        <v>13.14</v>
      </c>
      <c r="DB153" s="26">
        <f t="shared" si="285"/>
        <v>72.039999999999992</v>
      </c>
      <c r="DC153" s="26">
        <f t="shared" si="286"/>
        <v>72.040000000000006</v>
      </c>
      <c r="DD153" s="21">
        <f t="shared" si="287"/>
        <v>13.14</v>
      </c>
      <c r="DE153" s="21">
        <f t="shared" si="292"/>
        <v>11.86</v>
      </c>
      <c r="DF153" s="21">
        <f t="shared" si="293"/>
        <v>13.14</v>
      </c>
      <c r="DG153" s="21">
        <f t="shared" si="294"/>
        <v>12.71</v>
      </c>
      <c r="DH153" s="21">
        <f t="shared" si="288"/>
        <v>13.14</v>
      </c>
      <c r="DI153" s="21">
        <f t="shared" si="289"/>
        <v>12.71</v>
      </c>
      <c r="DJ153" s="26"/>
      <c r="DK153" s="26"/>
      <c r="DL153" s="26"/>
      <c r="DM153" s="26"/>
      <c r="DN153" s="26"/>
      <c r="DO153" s="26"/>
      <c r="DP153" s="26">
        <f t="shared" si="275"/>
        <v>76.7</v>
      </c>
      <c r="DQ153" s="21">
        <f t="shared" si="290"/>
        <v>148.74</v>
      </c>
      <c r="DR153" s="21">
        <f t="shared" si="291"/>
        <v>710.53</v>
      </c>
    </row>
    <row r="154" spans="2:122" ht="16.5">
      <c r="B154" s="37">
        <v>42930</v>
      </c>
      <c r="C154" s="47" t="s">
        <v>384</v>
      </c>
      <c r="D154" s="47" t="s">
        <v>405</v>
      </c>
      <c r="E154" s="39" t="s">
        <v>145</v>
      </c>
      <c r="F154" s="36" t="s">
        <v>406</v>
      </c>
      <c r="G154" s="40">
        <v>859.27</v>
      </c>
      <c r="H154" s="21">
        <f t="shared" si="278"/>
        <v>85.927000000000007</v>
      </c>
      <c r="I154" s="21">
        <f t="shared" si="279"/>
        <v>773.34299999999996</v>
      </c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21"/>
      <c r="CM154" s="21"/>
      <c r="CN154" s="21"/>
      <c r="CO154" s="26"/>
      <c r="CP154" s="21"/>
      <c r="CQ154" s="21"/>
      <c r="CR154" s="21"/>
      <c r="CS154" s="21"/>
      <c r="CT154" s="27"/>
      <c r="CU154" s="21"/>
      <c r="CV154" s="21">
        <f t="shared" si="277"/>
        <v>7.2</v>
      </c>
      <c r="CW154" s="21">
        <f t="shared" si="280"/>
        <v>13.14</v>
      </c>
      <c r="CX154" s="21">
        <f t="shared" si="281"/>
        <v>12.71</v>
      </c>
      <c r="CY154" s="21">
        <f t="shared" si="282"/>
        <v>13.14</v>
      </c>
      <c r="CZ154" s="21">
        <f t="shared" si="283"/>
        <v>12.71</v>
      </c>
      <c r="DA154" s="21">
        <f t="shared" si="284"/>
        <v>13.14</v>
      </c>
      <c r="DB154" s="26">
        <f t="shared" si="285"/>
        <v>72.039999999999992</v>
      </c>
      <c r="DC154" s="26">
        <f t="shared" si="286"/>
        <v>72.040000000000006</v>
      </c>
      <c r="DD154" s="21">
        <f t="shared" si="287"/>
        <v>13.14</v>
      </c>
      <c r="DE154" s="21">
        <f t="shared" si="292"/>
        <v>11.86</v>
      </c>
      <c r="DF154" s="21">
        <f t="shared" si="293"/>
        <v>13.14</v>
      </c>
      <c r="DG154" s="21">
        <f t="shared" si="294"/>
        <v>12.71</v>
      </c>
      <c r="DH154" s="21">
        <f t="shared" si="288"/>
        <v>13.14</v>
      </c>
      <c r="DI154" s="21">
        <f t="shared" si="289"/>
        <v>12.71</v>
      </c>
      <c r="DJ154" s="26"/>
      <c r="DK154" s="26"/>
      <c r="DL154" s="26"/>
      <c r="DM154" s="26"/>
      <c r="DN154" s="26"/>
      <c r="DO154" s="26"/>
      <c r="DP154" s="26">
        <f t="shared" si="275"/>
        <v>76.7</v>
      </c>
      <c r="DQ154" s="21">
        <f t="shared" si="290"/>
        <v>148.74</v>
      </c>
      <c r="DR154" s="21">
        <f t="shared" si="291"/>
        <v>710.53</v>
      </c>
    </row>
    <row r="155" spans="2:122" ht="16.5">
      <c r="B155" s="37">
        <v>42930</v>
      </c>
      <c r="C155" s="47" t="s">
        <v>384</v>
      </c>
      <c r="D155" s="47" t="s">
        <v>407</v>
      </c>
      <c r="E155" s="39" t="s">
        <v>148</v>
      </c>
      <c r="F155" s="36" t="s">
        <v>408</v>
      </c>
      <c r="G155" s="40">
        <v>859.27</v>
      </c>
      <c r="H155" s="21">
        <f t="shared" si="278"/>
        <v>85.927000000000007</v>
      </c>
      <c r="I155" s="21">
        <f t="shared" si="279"/>
        <v>773.34299999999996</v>
      </c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21"/>
      <c r="CM155" s="21"/>
      <c r="CN155" s="21"/>
      <c r="CO155" s="26"/>
      <c r="CP155" s="21"/>
      <c r="CQ155" s="21"/>
      <c r="CR155" s="21"/>
      <c r="CS155" s="21"/>
      <c r="CT155" s="27"/>
      <c r="CU155" s="21"/>
      <c r="CV155" s="21">
        <f t="shared" si="277"/>
        <v>7.2</v>
      </c>
      <c r="CW155" s="21">
        <f t="shared" si="280"/>
        <v>13.14</v>
      </c>
      <c r="CX155" s="21">
        <f t="shared" si="281"/>
        <v>12.71</v>
      </c>
      <c r="CY155" s="21">
        <f t="shared" si="282"/>
        <v>13.14</v>
      </c>
      <c r="CZ155" s="21">
        <f t="shared" si="283"/>
        <v>12.71</v>
      </c>
      <c r="DA155" s="21">
        <f t="shared" si="284"/>
        <v>13.14</v>
      </c>
      <c r="DB155" s="26">
        <f t="shared" si="285"/>
        <v>72.039999999999992</v>
      </c>
      <c r="DC155" s="26">
        <f t="shared" si="286"/>
        <v>72.040000000000006</v>
      </c>
      <c r="DD155" s="21">
        <f t="shared" si="287"/>
        <v>13.14</v>
      </c>
      <c r="DE155" s="21">
        <f t="shared" si="292"/>
        <v>11.86</v>
      </c>
      <c r="DF155" s="21">
        <f t="shared" si="293"/>
        <v>13.14</v>
      </c>
      <c r="DG155" s="21">
        <f t="shared" si="294"/>
        <v>12.71</v>
      </c>
      <c r="DH155" s="21">
        <f t="shared" si="288"/>
        <v>13.14</v>
      </c>
      <c r="DI155" s="21">
        <f t="shared" si="289"/>
        <v>12.71</v>
      </c>
      <c r="DJ155" s="26"/>
      <c r="DK155" s="26"/>
      <c r="DL155" s="26"/>
      <c r="DM155" s="26"/>
      <c r="DN155" s="26"/>
      <c r="DO155" s="26"/>
      <c r="DP155" s="26">
        <f t="shared" si="275"/>
        <v>76.7</v>
      </c>
      <c r="DQ155" s="21">
        <f t="shared" si="290"/>
        <v>148.74</v>
      </c>
      <c r="DR155" s="21">
        <f t="shared" si="291"/>
        <v>710.53</v>
      </c>
    </row>
    <row r="156" spans="2:122" ht="16.5">
      <c r="B156" s="37">
        <v>42930</v>
      </c>
      <c r="C156" s="47" t="s">
        <v>384</v>
      </c>
      <c r="D156" s="47" t="s">
        <v>409</v>
      </c>
      <c r="E156" s="39" t="s">
        <v>294</v>
      </c>
      <c r="F156" s="36" t="s">
        <v>410</v>
      </c>
      <c r="G156" s="40">
        <v>859.27</v>
      </c>
      <c r="H156" s="21">
        <f t="shared" si="278"/>
        <v>85.927000000000007</v>
      </c>
      <c r="I156" s="21">
        <f t="shared" si="279"/>
        <v>773.34299999999996</v>
      </c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21"/>
      <c r="CM156" s="21"/>
      <c r="CN156" s="21"/>
      <c r="CO156" s="26"/>
      <c r="CP156" s="21"/>
      <c r="CQ156" s="21"/>
      <c r="CR156" s="21"/>
      <c r="CS156" s="21"/>
      <c r="CT156" s="27"/>
      <c r="CU156" s="21"/>
      <c r="CV156" s="21">
        <f t="shared" si="277"/>
        <v>7.2</v>
      </c>
      <c r="CW156" s="21">
        <f t="shared" si="280"/>
        <v>13.14</v>
      </c>
      <c r="CX156" s="21">
        <f t="shared" si="281"/>
        <v>12.71</v>
      </c>
      <c r="CY156" s="21">
        <f t="shared" si="282"/>
        <v>13.14</v>
      </c>
      <c r="CZ156" s="21">
        <f t="shared" si="283"/>
        <v>12.71</v>
      </c>
      <c r="DA156" s="21">
        <f t="shared" si="284"/>
        <v>13.14</v>
      </c>
      <c r="DB156" s="26">
        <f t="shared" si="285"/>
        <v>72.039999999999992</v>
      </c>
      <c r="DC156" s="26">
        <f t="shared" si="286"/>
        <v>72.040000000000006</v>
      </c>
      <c r="DD156" s="21">
        <f t="shared" si="287"/>
        <v>13.14</v>
      </c>
      <c r="DE156" s="21">
        <f t="shared" si="292"/>
        <v>11.86</v>
      </c>
      <c r="DF156" s="21">
        <f t="shared" si="293"/>
        <v>13.14</v>
      </c>
      <c r="DG156" s="21">
        <f t="shared" si="294"/>
        <v>12.71</v>
      </c>
      <c r="DH156" s="21">
        <f t="shared" si="288"/>
        <v>13.14</v>
      </c>
      <c r="DI156" s="21">
        <f t="shared" si="289"/>
        <v>12.71</v>
      </c>
      <c r="DJ156" s="26"/>
      <c r="DK156" s="26"/>
      <c r="DL156" s="26"/>
      <c r="DM156" s="26"/>
      <c r="DN156" s="26"/>
      <c r="DO156" s="26"/>
      <c r="DP156" s="26">
        <f t="shared" si="275"/>
        <v>76.7</v>
      </c>
      <c r="DQ156" s="21">
        <f t="shared" si="290"/>
        <v>148.74</v>
      </c>
      <c r="DR156" s="21">
        <f t="shared" si="291"/>
        <v>710.53</v>
      </c>
    </row>
    <row r="157" spans="2:122" ht="16.5">
      <c r="B157" s="37">
        <v>42930</v>
      </c>
      <c r="C157" s="47" t="s">
        <v>384</v>
      </c>
      <c r="D157" s="47" t="s">
        <v>411</v>
      </c>
      <c r="E157" s="39" t="s">
        <v>139</v>
      </c>
      <c r="F157" s="36" t="s">
        <v>412</v>
      </c>
      <c r="G157" s="40">
        <v>859.27</v>
      </c>
      <c r="H157" s="21">
        <f t="shared" si="278"/>
        <v>85.927000000000007</v>
      </c>
      <c r="I157" s="21">
        <f t="shared" si="279"/>
        <v>773.34299999999996</v>
      </c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21"/>
      <c r="CM157" s="21"/>
      <c r="CN157" s="21"/>
      <c r="CO157" s="26"/>
      <c r="CP157" s="21"/>
      <c r="CQ157" s="21"/>
      <c r="CR157" s="21"/>
      <c r="CS157" s="21"/>
      <c r="CT157" s="27"/>
      <c r="CU157" s="21"/>
      <c r="CV157" s="21">
        <f t="shared" si="277"/>
        <v>7.2</v>
      </c>
      <c r="CW157" s="21">
        <f t="shared" si="280"/>
        <v>13.14</v>
      </c>
      <c r="CX157" s="21">
        <f t="shared" si="281"/>
        <v>12.71</v>
      </c>
      <c r="CY157" s="21">
        <f t="shared" si="282"/>
        <v>13.14</v>
      </c>
      <c r="CZ157" s="21">
        <f t="shared" si="283"/>
        <v>12.71</v>
      </c>
      <c r="DA157" s="21">
        <f t="shared" si="284"/>
        <v>13.14</v>
      </c>
      <c r="DB157" s="26">
        <f t="shared" si="285"/>
        <v>72.039999999999992</v>
      </c>
      <c r="DC157" s="26">
        <f t="shared" si="286"/>
        <v>72.040000000000006</v>
      </c>
      <c r="DD157" s="21">
        <f t="shared" si="287"/>
        <v>13.14</v>
      </c>
      <c r="DE157" s="21">
        <f t="shared" si="292"/>
        <v>11.86</v>
      </c>
      <c r="DF157" s="21">
        <f t="shared" si="293"/>
        <v>13.14</v>
      </c>
      <c r="DG157" s="21">
        <f t="shared" si="294"/>
        <v>12.71</v>
      </c>
      <c r="DH157" s="21">
        <f t="shared" si="288"/>
        <v>13.14</v>
      </c>
      <c r="DI157" s="21">
        <f t="shared" si="289"/>
        <v>12.71</v>
      </c>
      <c r="DJ157" s="26"/>
      <c r="DK157" s="26"/>
      <c r="DL157" s="26"/>
      <c r="DM157" s="26"/>
      <c r="DN157" s="26"/>
      <c r="DO157" s="26"/>
      <c r="DP157" s="26">
        <f t="shared" si="275"/>
        <v>76.7</v>
      </c>
      <c r="DQ157" s="21">
        <f t="shared" si="290"/>
        <v>148.74</v>
      </c>
      <c r="DR157" s="21">
        <f t="shared" si="291"/>
        <v>710.53</v>
      </c>
    </row>
    <row r="158" spans="2:122" ht="16.5">
      <c r="B158" s="37">
        <v>42930</v>
      </c>
      <c r="C158" s="47" t="s">
        <v>384</v>
      </c>
      <c r="D158" s="47" t="s">
        <v>413</v>
      </c>
      <c r="E158" s="39" t="s">
        <v>220</v>
      </c>
      <c r="F158" s="36" t="s">
        <v>414</v>
      </c>
      <c r="G158" s="40">
        <v>859.27</v>
      </c>
      <c r="H158" s="21">
        <f t="shared" si="278"/>
        <v>85.927000000000007</v>
      </c>
      <c r="I158" s="21">
        <f t="shared" si="279"/>
        <v>773.34299999999996</v>
      </c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21"/>
      <c r="CM158" s="21"/>
      <c r="CN158" s="21"/>
      <c r="CO158" s="26"/>
      <c r="CP158" s="21"/>
      <c r="CQ158" s="21"/>
      <c r="CR158" s="21"/>
      <c r="CS158" s="21"/>
      <c r="CT158" s="27"/>
      <c r="CU158" s="21"/>
      <c r="CV158" s="21">
        <f t="shared" si="277"/>
        <v>7.2</v>
      </c>
      <c r="CW158" s="21">
        <f t="shared" si="280"/>
        <v>13.14</v>
      </c>
      <c r="CX158" s="21">
        <f t="shared" si="281"/>
        <v>12.71</v>
      </c>
      <c r="CY158" s="21">
        <f t="shared" si="282"/>
        <v>13.14</v>
      </c>
      <c r="CZ158" s="21">
        <f t="shared" si="283"/>
        <v>12.71</v>
      </c>
      <c r="DA158" s="21">
        <f t="shared" si="284"/>
        <v>13.14</v>
      </c>
      <c r="DB158" s="26">
        <f t="shared" si="285"/>
        <v>72.039999999999992</v>
      </c>
      <c r="DC158" s="26">
        <f t="shared" si="286"/>
        <v>72.040000000000006</v>
      </c>
      <c r="DD158" s="21">
        <f t="shared" si="287"/>
        <v>13.14</v>
      </c>
      <c r="DE158" s="21">
        <f t="shared" si="292"/>
        <v>11.86</v>
      </c>
      <c r="DF158" s="21">
        <f t="shared" si="293"/>
        <v>13.14</v>
      </c>
      <c r="DG158" s="21">
        <f t="shared" si="294"/>
        <v>12.71</v>
      </c>
      <c r="DH158" s="21">
        <f t="shared" si="288"/>
        <v>13.14</v>
      </c>
      <c r="DI158" s="21">
        <f t="shared" si="289"/>
        <v>12.71</v>
      </c>
      <c r="DJ158" s="26"/>
      <c r="DK158" s="26"/>
      <c r="DL158" s="26"/>
      <c r="DM158" s="26"/>
      <c r="DN158" s="26"/>
      <c r="DO158" s="26"/>
      <c r="DP158" s="26">
        <f t="shared" si="275"/>
        <v>76.7</v>
      </c>
      <c r="DQ158" s="21">
        <f t="shared" si="290"/>
        <v>148.74</v>
      </c>
      <c r="DR158" s="21">
        <f t="shared" si="291"/>
        <v>710.53</v>
      </c>
    </row>
    <row r="159" spans="2:122" ht="41.25">
      <c r="B159" s="37">
        <v>42954</v>
      </c>
      <c r="C159" s="38" t="s">
        <v>249</v>
      </c>
      <c r="D159" s="38" t="s">
        <v>415</v>
      </c>
      <c r="E159" s="38" t="s">
        <v>374</v>
      </c>
      <c r="F159" s="39" t="s">
        <v>416</v>
      </c>
      <c r="G159" s="54">
        <v>1089</v>
      </c>
      <c r="H159" s="21">
        <f t="shared" si="278"/>
        <v>108.9</v>
      </c>
      <c r="I159" s="21">
        <f t="shared" si="279"/>
        <v>980.1</v>
      </c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21"/>
      <c r="CM159" s="21"/>
      <c r="CN159" s="21"/>
      <c r="CO159" s="26"/>
      <c r="CP159" s="21"/>
      <c r="CQ159" s="21"/>
      <c r="CR159" s="21"/>
      <c r="CS159" s="21"/>
      <c r="CT159" s="27"/>
      <c r="CU159" s="21"/>
      <c r="CV159" s="21"/>
      <c r="CW159" s="21">
        <f>ROUND((I159/5/365*24),2)</f>
        <v>12.89</v>
      </c>
      <c r="CX159" s="21">
        <f t="shared" si="281"/>
        <v>16.11</v>
      </c>
      <c r="CY159" s="21">
        <f t="shared" si="282"/>
        <v>16.649999999999999</v>
      </c>
      <c r="CZ159" s="21">
        <f t="shared" si="283"/>
        <v>16.11</v>
      </c>
      <c r="DA159" s="21">
        <f t="shared" si="284"/>
        <v>16.649999999999999</v>
      </c>
      <c r="DB159" s="26">
        <f t="shared" si="285"/>
        <v>78.41</v>
      </c>
      <c r="DC159" s="26">
        <f t="shared" si="286"/>
        <v>78.41</v>
      </c>
      <c r="DD159" s="21">
        <f t="shared" si="287"/>
        <v>16.649999999999999</v>
      </c>
      <c r="DE159" s="21">
        <f t="shared" si="292"/>
        <v>15.04</v>
      </c>
      <c r="DF159" s="21">
        <f t="shared" si="293"/>
        <v>16.649999999999999</v>
      </c>
      <c r="DG159" s="21">
        <f t="shared" si="294"/>
        <v>16.11</v>
      </c>
      <c r="DH159" s="21">
        <f t="shared" si="288"/>
        <v>16.649999999999999</v>
      </c>
      <c r="DI159" s="21">
        <f t="shared" si="289"/>
        <v>16.11</v>
      </c>
      <c r="DJ159" s="26"/>
      <c r="DK159" s="26"/>
      <c r="DL159" s="26"/>
      <c r="DM159" s="26"/>
      <c r="DN159" s="26"/>
      <c r="DO159" s="26"/>
      <c r="DP159" s="26">
        <f t="shared" si="275"/>
        <v>97.21</v>
      </c>
      <c r="DQ159" s="21">
        <f t="shared" si="290"/>
        <v>175.62</v>
      </c>
      <c r="DR159" s="21">
        <f t="shared" si="291"/>
        <v>913.38</v>
      </c>
    </row>
    <row r="160" spans="2:122" ht="41.25">
      <c r="B160" s="37">
        <v>42954</v>
      </c>
      <c r="C160" s="38" t="s">
        <v>249</v>
      </c>
      <c r="D160" s="38" t="s">
        <v>417</v>
      </c>
      <c r="E160" s="38" t="s">
        <v>374</v>
      </c>
      <c r="F160" s="39" t="s">
        <v>418</v>
      </c>
      <c r="G160" s="54">
        <v>1089</v>
      </c>
      <c r="H160" s="21">
        <f t="shared" si="278"/>
        <v>108.9</v>
      </c>
      <c r="I160" s="21">
        <f t="shared" si="279"/>
        <v>980.1</v>
      </c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21"/>
      <c r="CM160" s="21"/>
      <c r="CN160" s="21"/>
      <c r="CO160" s="26"/>
      <c r="CP160" s="21"/>
      <c r="CQ160" s="21"/>
      <c r="CR160" s="21"/>
      <c r="CS160" s="21"/>
      <c r="CT160" s="27"/>
      <c r="CU160" s="21"/>
      <c r="CV160" s="21"/>
      <c r="CW160" s="21">
        <f t="shared" ref="CW160:CW167" si="295">ROUND((I160/5/365*24),2)</f>
        <v>12.89</v>
      </c>
      <c r="CX160" s="21">
        <f t="shared" si="281"/>
        <v>16.11</v>
      </c>
      <c r="CY160" s="21">
        <f t="shared" si="282"/>
        <v>16.649999999999999</v>
      </c>
      <c r="CZ160" s="21">
        <f t="shared" si="283"/>
        <v>16.11</v>
      </c>
      <c r="DA160" s="21">
        <f t="shared" si="284"/>
        <v>16.649999999999999</v>
      </c>
      <c r="DB160" s="26">
        <f t="shared" si="285"/>
        <v>78.41</v>
      </c>
      <c r="DC160" s="26">
        <f t="shared" si="286"/>
        <v>78.41</v>
      </c>
      <c r="DD160" s="21">
        <f t="shared" si="287"/>
        <v>16.649999999999999</v>
      </c>
      <c r="DE160" s="21">
        <f t="shared" si="292"/>
        <v>15.04</v>
      </c>
      <c r="DF160" s="21">
        <f t="shared" si="293"/>
        <v>16.649999999999999</v>
      </c>
      <c r="DG160" s="21">
        <f t="shared" si="294"/>
        <v>16.11</v>
      </c>
      <c r="DH160" s="21">
        <f t="shared" si="288"/>
        <v>16.649999999999999</v>
      </c>
      <c r="DI160" s="21">
        <f t="shared" si="289"/>
        <v>16.11</v>
      </c>
      <c r="DJ160" s="26"/>
      <c r="DK160" s="26"/>
      <c r="DL160" s="26"/>
      <c r="DM160" s="26"/>
      <c r="DN160" s="26"/>
      <c r="DO160" s="26"/>
      <c r="DP160" s="26">
        <f t="shared" si="275"/>
        <v>97.21</v>
      </c>
      <c r="DQ160" s="21">
        <f t="shared" si="290"/>
        <v>175.62</v>
      </c>
      <c r="DR160" s="21">
        <f t="shared" si="291"/>
        <v>913.38</v>
      </c>
    </row>
    <row r="161" spans="2:124" ht="41.25">
      <c r="B161" s="37">
        <v>42954</v>
      </c>
      <c r="C161" s="38" t="s">
        <v>249</v>
      </c>
      <c r="D161" s="38" t="s">
        <v>419</v>
      </c>
      <c r="E161" s="38" t="s">
        <v>374</v>
      </c>
      <c r="F161" s="39" t="s">
        <v>420</v>
      </c>
      <c r="G161" s="54">
        <v>1089</v>
      </c>
      <c r="H161" s="21">
        <f t="shared" si="278"/>
        <v>108.9</v>
      </c>
      <c r="I161" s="21">
        <f t="shared" si="279"/>
        <v>980.1</v>
      </c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21"/>
      <c r="CM161" s="21"/>
      <c r="CN161" s="21"/>
      <c r="CO161" s="26"/>
      <c r="CP161" s="21"/>
      <c r="CQ161" s="21"/>
      <c r="CR161" s="21"/>
      <c r="CS161" s="21"/>
      <c r="CT161" s="27"/>
      <c r="CU161" s="21"/>
      <c r="CV161" s="21"/>
      <c r="CW161" s="21">
        <f t="shared" si="295"/>
        <v>12.89</v>
      </c>
      <c r="CX161" s="21">
        <f t="shared" si="281"/>
        <v>16.11</v>
      </c>
      <c r="CY161" s="21">
        <f t="shared" si="282"/>
        <v>16.649999999999999</v>
      </c>
      <c r="CZ161" s="21">
        <f t="shared" si="283"/>
        <v>16.11</v>
      </c>
      <c r="DA161" s="21">
        <f t="shared" si="284"/>
        <v>16.649999999999999</v>
      </c>
      <c r="DB161" s="26">
        <f t="shared" si="285"/>
        <v>78.41</v>
      </c>
      <c r="DC161" s="26">
        <f t="shared" si="286"/>
        <v>78.41</v>
      </c>
      <c r="DD161" s="21">
        <f t="shared" si="287"/>
        <v>16.649999999999999</v>
      </c>
      <c r="DE161" s="21">
        <f t="shared" si="292"/>
        <v>15.04</v>
      </c>
      <c r="DF161" s="21">
        <f t="shared" si="293"/>
        <v>16.649999999999999</v>
      </c>
      <c r="DG161" s="21">
        <f t="shared" si="294"/>
        <v>16.11</v>
      </c>
      <c r="DH161" s="21">
        <f t="shared" si="288"/>
        <v>16.649999999999999</v>
      </c>
      <c r="DI161" s="21">
        <f t="shared" si="289"/>
        <v>16.11</v>
      </c>
      <c r="DJ161" s="26"/>
      <c r="DK161" s="26"/>
      <c r="DL161" s="26"/>
      <c r="DM161" s="26"/>
      <c r="DN161" s="26"/>
      <c r="DO161" s="26"/>
      <c r="DP161" s="26">
        <f t="shared" si="275"/>
        <v>97.21</v>
      </c>
      <c r="DQ161" s="21">
        <f t="shared" si="290"/>
        <v>175.62</v>
      </c>
      <c r="DR161" s="21">
        <f t="shared" si="291"/>
        <v>913.38</v>
      </c>
    </row>
    <row r="162" spans="2:124" ht="41.25">
      <c r="B162" s="37">
        <v>42954</v>
      </c>
      <c r="C162" s="38" t="s">
        <v>249</v>
      </c>
      <c r="D162" s="38" t="s">
        <v>421</v>
      </c>
      <c r="E162" s="38" t="s">
        <v>374</v>
      </c>
      <c r="F162" s="39" t="s">
        <v>422</v>
      </c>
      <c r="G162" s="54">
        <v>1089</v>
      </c>
      <c r="H162" s="21">
        <f t="shared" si="278"/>
        <v>108.9</v>
      </c>
      <c r="I162" s="21">
        <f t="shared" si="279"/>
        <v>980.1</v>
      </c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21"/>
      <c r="CM162" s="21"/>
      <c r="CN162" s="21"/>
      <c r="CO162" s="26"/>
      <c r="CP162" s="21"/>
      <c r="CQ162" s="21"/>
      <c r="CR162" s="21"/>
      <c r="CS162" s="21"/>
      <c r="CT162" s="27"/>
      <c r="CU162" s="21"/>
      <c r="CV162" s="21"/>
      <c r="CW162" s="21">
        <f t="shared" si="295"/>
        <v>12.89</v>
      </c>
      <c r="CX162" s="21">
        <f t="shared" si="281"/>
        <v>16.11</v>
      </c>
      <c r="CY162" s="21">
        <f t="shared" si="282"/>
        <v>16.649999999999999</v>
      </c>
      <c r="CZ162" s="21">
        <f t="shared" si="283"/>
        <v>16.11</v>
      </c>
      <c r="DA162" s="21">
        <f t="shared" si="284"/>
        <v>16.649999999999999</v>
      </c>
      <c r="DB162" s="26">
        <f t="shared" si="285"/>
        <v>78.41</v>
      </c>
      <c r="DC162" s="26">
        <f t="shared" si="286"/>
        <v>78.41</v>
      </c>
      <c r="DD162" s="21">
        <f t="shared" si="287"/>
        <v>16.649999999999999</v>
      </c>
      <c r="DE162" s="21">
        <f t="shared" si="292"/>
        <v>15.04</v>
      </c>
      <c r="DF162" s="21">
        <f t="shared" si="293"/>
        <v>16.649999999999999</v>
      </c>
      <c r="DG162" s="21">
        <f t="shared" si="294"/>
        <v>16.11</v>
      </c>
      <c r="DH162" s="21">
        <f t="shared" si="288"/>
        <v>16.649999999999999</v>
      </c>
      <c r="DI162" s="21">
        <f t="shared" si="289"/>
        <v>16.11</v>
      </c>
      <c r="DJ162" s="26"/>
      <c r="DK162" s="26"/>
      <c r="DL162" s="26"/>
      <c r="DM162" s="26"/>
      <c r="DN162" s="26"/>
      <c r="DO162" s="26"/>
      <c r="DP162" s="26">
        <f t="shared" si="275"/>
        <v>97.21</v>
      </c>
      <c r="DQ162" s="21">
        <f t="shared" si="290"/>
        <v>175.62</v>
      </c>
      <c r="DR162" s="21">
        <f t="shared" si="291"/>
        <v>913.38</v>
      </c>
    </row>
    <row r="163" spans="2:124" ht="41.25">
      <c r="B163" s="37">
        <v>42954</v>
      </c>
      <c r="C163" s="38" t="s">
        <v>249</v>
      </c>
      <c r="D163" s="38" t="s">
        <v>423</v>
      </c>
      <c r="E163" s="38" t="s">
        <v>374</v>
      </c>
      <c r="F163" s="39" t="s">
        <v>424</v>
      </c>
      <c r="G163" s="54">
        <v>1089</v>
      </c>
      <c r="H163" s="21">
        <f t="shared" si="278"/>
        <v>108.9</v>
      </c>
      <c r="I163" s="21">
        <f t="shared" si="279"/>
        <v>980.1</v>
      </c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21"/>
      <c r="CM163" s="21"/>
      <c r="CN163" s="21"/>
      <c r="CO163" s="26"/>
      <c r="CP163" s="21"/>
      <c r="CQ163" s="21"/>
      <c r="CR163" s="21"/>
      <c r="CS163" s="21"/>
      <c r="CT163" s="27"/>
      <c r="CU163" s="21"/>
      <c r="CV163" s="21"/>
      <c r="CW163" s="21">
        <f t="shared" si="295"/>
        <v>12.89</v>
      </c>
      <c r="CX163" s="21">
        <f t="shared" si="281"/>
        <v>16.11</v>
      </c>
      <c r="CY163" s="21">
        <f t="shared" si="282"/>
        <v>16.649999999999999</v>
      </c>
      <c r="CZ163" s="21">
        <f t="shared" si="283"/>
        <v>16.11</v>
      </c>
      <c r="DA163" s="21">
        <f t="shared" si="284"/>
        <v>16.649999999999999</v>
      </c>
      <c r="DB163" s="26">
        <f t="shared" si="285"/>
        <v>78.41</v>
      </c>
      <c r="DC163" s="26">
        <f t="shared" si="286"/>
        <v>78.41</v>
      </c>
      <c r="DD163" s="21">
        <f t="shared" si="287"/>
        <v>16.649999999999999</v>
      </c>
      <c r="DE163" s="21">
        <f>ROUND((I163/5/365*28),2)</f>
        <v>15.04</v>
      </c>
      <c r="DF163" s="21">
        <f t="shared" si="293"/>
        <v>16.649999999999999</v>
      </c>
      <c r="DG163" s="21">
        <f t="shared" si="294"/>
        <v>16.11</v>
      </c>
      <c r="DH163" s="21">
        <f t="shared" si="288"/>
        <v>16.649999999999999</v>
      </c>
      <c r="DI163" s="21">
        <f t="shared" si="289"/>
        <v>16.11</v>
      </c>
      <c r="DJ163" s="26"/>
      <c r="DK163" s="26"/>
      <c r="DL163" s="26"/>
      <c r="DM163" s="26"/>
      <c r="DN163" s="26"/>
      <c r="DO163" s="26"/>
      <c r="DP163" s="26">
        <f t="shared" si="275"/>
        <v>97.21</v>
      </c>
      <c r="DQ163" s="21">
        <f t="shared" si="290"/>
        <v>175.62</v>
      </c>
      <c r="DR163" s="21">
        <f t="shared" si="291"/>
        <v>913.38</v>
      </c>
    </row>
    <row r="164" spans="2:124" ht="41.25">
      <c r="B164" s="37">
        <v>42954</v>
      </c>
      <c r="C164" s="38" t="s">
        <v>249</v>
      </c>
      <c r="D164" s="38" t="s">
        <v>425</v>
      </c>
      <c r="E164" s="38" t="s">
        <v>374</v>
      </c>
      <c r="F164" s="39" t="s">
        <v>426</v>
      </c>
      <c r="G164" s="54">
        <v>1089</v>
      </c>
      <c r="H164" s="21">
        <f t="shared" si="278"/>
        <v>108.9</v>
      </c>
      <c r="I164" s="21">
        <f t="shared" si="279"/>
        <v>980.1</v>
      </c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21"/>
      <c r="CM164" s="21"/>
      <c r="CN164" s="21"/>
      <c r="CO164" s="26"/>
      <c r="CP164" s="21"/>
      <c r="CQ164" s="21"/>
      <c r="CR164" s="21"/>
      <c r="CS164" s="21"/>
      <c r="CT164" s="27"/>
      <c r="CU164" s="21"/>
      <c r="CV164" s="21"/>
      <c r="CW164" s="21">
        <f t="shared" si="295"/>
        <v>12.89</v>
      </c>
      <c r="CX164" s="21">
        <f t="shared" si="281"/>
        <v>16.11</v>
      </c>
      <c r="CY164" s="21">
        <f t="shared" si="282"/>
        <v>16.649999999999999</v>
      </c>
      <c r="CZ164" s="21">
        <f t="shared" si="283"/>
        <v>16.11</v>
      </c>
      <c r="DA164" s="21">
        <f t="shared" si="284"/>
        <v>16.649999999999999</v>
      </c>
      <c r="DB164" s="26">
        <f t="shared" si="285"/>
        <v>78.41</v>
      </c>
      <c r="DC164" s="26">
        <f t="shared" si="286"/>
        <v>78.41</v>
      </c>
      <c r="DD164" s="21">
        <f t="shared" si="287"/>
        <v>16.649999999999999</v>
      </c>
      <c r="DE164" s="21">
        <f t="shared" si="292"/>
        <v>15.04</v>
      </c>
      <c r="DF164" s="21">
        <f t="shared" si="293"/>
        <v>16.649999999999999</v>
      </c>
      <c r="DG164" s="21">
        <f t="shared" si="294"/>
        <v>16.11</v>
      </c>
      <c r="DH164" s="21">
        <f t="shared" si="288"/>
        <v>16.649999999999999</v>
      </c>
      <c r="DI164" s="21">
        <f t="shared" si="289"/>
        <v>16.11</v>
      </c>
      <c r="DJ164" s="26"/>
      <c r="DK164" s="26"/>
      <c r="DL164" s="26"/>
      <c r="DM164" s="26"/>
      <c r="DN164" s="26"/>
      <c r="DO164" s="26"/>
      <c r="DP164" s="26">
        <f t="shared" si="275"/>
        <v>97.21</v>
      </c>
      <c r="DQ164" s="21">
        <f t="shared" si="290"/>
        <v>175.62</v>
      </c>
      <c r="DR164" s="21">
        <f t="shared" si="291"/>
        <v>913.38</v>
      </c>
    </row>
    <row r="165" spans="2:124" ht="57.75">
      <c r="B165" s="37">
        <v>42954</v>
      </c>
      <c r="C165" s="38" t="s">
        <v>249</v>
      </c>
      <c r="D165" s="38" t="s">
        <v>427</v>
      </c>
      <c r="E165" s="38" t="s">
        <v>374</v>
      </c>
      <c r="F165" s="39" t="s">
        <v>428</v>
      </c>
      <c r="G165" s="54">
        <v>1089</v>
      </c>
      <c r="H165" s="21">
        <f t="shared" si="278"/>
        <v>108.9</v>
      </c>
      <c r="I165" s="21">
        <f t="shared" si="279"/>
        <v>980.1</v>
      </c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21"/>
      <c r="CM165" s="21"/>
      <c r="CN165" s="21"/>
      <c r="CO165" s="26"/>
      <c r="CP165" s="21"/>
      <c r="CQ165" s="21"/>
      <c r="CR165" s="21"/>
      <c r="CS165" s="21"/>
      <c r="CT165" s="27"/>
      <c r="CU165" s="21"/>
      <c r="CV165" s="21"/>
      <c r="CW165" s="21">
        <f t="shared" si="295"/>
        <v>12.89</v>
      </c>
      <c r="CX165" s="21">
        <f t="shared" si="281"/>
        <v>16.11</v>
      </c>
      <c r="CY165" s="21">
        <f t="shared" si="282"/>
        <v>16.649999999999999</v>
      </c>
      <c r="CZ165" s="21">
        <f t="shared" si="283"/>
        <v>16.11</v>
      </c>
      <c r="DA165" s="21">
        <f t="shared" si="284"/>
        <v>16.649999999999999</v>
      </c>
      <c r="DB165" s="26">
        <f t="shared" si="285"/>
        <v>78.41</v>
      </c>
      <c r="DC165" s="26">
        <f t="shared" si="286"/>
        <v>78.41</v>
      </c>
      <c r="DD165" s="21">
        <f t="shared" si="287"/>
        <v>16.649999999999999</v>
      </c>
      <c r="DE165" s="21">
        <f t="shared" si="292"/>
        <v>15.04</v>
      </c>
      <c r="DF165" s="21">
        <f t="shared" si="293"/>
        <v>16.649999999999999</v>
      </c>
      <c r="DG165" s="21">
        <f t="shared" si="294"/>
        <v>16.11</v>
      </c>
      <c r="DH165" s="21">
        <f t="shared" si="288"/>
        <v>16.649999999999999</v>
      </c>
      <c r="DI165" s="21">
        <f t="shared" si="289"/>
        <v>16.11</v>
      </c>
      <c r="DJ165" s="26"/>
      <c r="DK165" s="26"/>
      <c r="DL165" s="26"/>
      <c r="DM165" s="26"/>
      <c r="DN165" s="26"/>
      <c r="DO165" s="26"/>
      <c r="DP165" s="26">
        <f t="shared" si="275"/>
        <v>97.21</v>
      </c>
      <c r="DQ165" s="21">
        <f t="shared" si="290"/>
        <v>175.62</v>
      </c>
      <c r="DR165" s="21">
        <f t="shared" si="291"/>
        <v>913.38</v>
      </c>
    </row>
    <row r="166" spans="2:124" ht="41.25">
      <c r="B166" s="37">
        <v>42954</v>
      </c>
      <c r="C166" s="38" t="s">
        <v>249</v>
      </c>
      <c r="D166" s="38" t="s">
        <v>429</v>
      </c>
      <c r="E166" s="38" t="s">
        <v>374</v>
      </c>
      <c r="F166" s="39" t="s">
        <v>430</v>
      </c>
      <c r="G166" s="54">
        <v>1089</v>
      </c>
      <c r="H166" s="21">
        <f t="shared" si="278"/>
        <v>108.9</v>
      </c>
      <c r="I166" s="21">
        <f t="shared" si="279"/>
        <v>980.1</v>
      </c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21"/>
      <c r="CM166" s="21"/>
      <c r="CN166" s="21"/>
      <c r="CO166" s="26"/>
      <c r="CP166" s="21"/>
      <c r="CQ166" s="21"/>
      <c r="CR166" s="21"/>
      <c r="CS166" s="21"/>
      <c r="CT166" s="27"/>
      <c r="CU166" s="21"/>
      <c r="CV166" s="21"/>
      <c r="CW166" s="21">
        <f t="shared" si="295"/>
        <v>12.89</v>
      </c>
      <c r="CX166" s="21">
        <f t="shared" si="281"/>
        <v>16.11</v>
      </c>
      <c r="CY166" s="21">
        <f t="shared" si="282"/>
        <v>16.649999999999999</v>
      </c>
      <c r="CZ166" s="21">
        <f t="shared" si="283"/>
        <v>16.11</v>
      </c>
      <c r="DA166" s="21">
        <f t="shared" si="284"/>
        <v>16.649999999999999</v>
      </c>
      <c r="DB166" s="26">
        <f t="shared" si="285"/>
        <v>78.41</v>
      </c>
      <c r="DC166" s="26">
        <f t="shared" si="286"/>
        <v>78.41</v>
      </c>
      <c r="DD166" s="21">
        <f t="shared" si="287"/>
        <v>16.649999999999999</v>
      </c>
      <c r="DE166" s="21">
        <f t="shared" si="292"/>
        <v>15.04</v>
      </c>
      <c r="DF166" s="21">
        <f>ROUND((I166/5/365*31),2)</f>
        <v>16.649999999999999</v>
      </c>
      <c r="DG166" s="21">
        <f t="shared" si="294"/>
        <v>16.11</v>
      </c>
      <c r="DH166" s="21">
        <f t="shared" si="288"/>
        <v>16.649999999999999</v>
      </c>
      <c r="DI166" s="21">
        <f t="shared" si="289"/>
        <v>16.11</v>
      </c>
      <c r="DJ166" s="26"/>
      <c r="DK166" s="26"/>
      <c r="DL166" s="26"/>
      <c r="DM166" s="26"/>
      <c r="DN166" s="26"/>
      <c r="DO166" s="26"/>
      <c r="DP166" s="26">
        <f t="shared" si="275"/>
        <v>97.21</v>
      </c>
      <c r="DQ166" s="21">
        <f t="shared" si="290"/>
        <v>175.62</v>
      </c>
      <c r="DR166" s="21">
        <f t="shared" si="291"/>
        <v>913.38</v>
      </c>
    </row>
    <row r="167" spans="2:124" ht="49.5">
      <c r="B167" s="37">
        <v>42954</v>
      </c>
      <c r="C167" s="38" t="s">
        <v>365</v>
      </c>
      <c r="D167" s="38" t="s">
        <v>431</v>
      </c>
      <c r="E167" s="38" t="s">
        <v>374</v>
      </c>
      <c r="F167" s="39" t="s">
        <v>432</v>
      </c>
      <c r="G167" s="54">
        <v>1366</v>
      </c>
      <c r="H167" s="21">
        <f t="shared" si="278"/>
        <v>136.6</v>
      </c>
      <c r="I167" s="21">
        <f t="shared" si="279"/>
        <v>1229.4000000000001</v>
      </c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21"/>
      <c r="CM167" s="21"/>
      <c r="CN167" s="21"/>
      <c r="CO167" s="26"/>
      <c r="CP167" s="21"/>
      <c r="CQ167" s="21"/>
      <c r="CR167" s="21"/>
      <c r="CS167" s="21"/>
      <c r="CT167" s="27"/>
      <c r="CU167" s="21"/>
      <c r="CV167" s="21"/>
      <c r="CW167" s="21">
        <f t="shared" si="295"/>
        <v>16.170000000000002</v>
      </c>
      <c r="CX167" s="21">
        <f t="shared" si="281"/>
        <v>20.21</v>
      </c>
      <c r="CY167" s="21">
        <f t="shared" si="282"/>
        <v>20.88</v>
      </c>
      <c r="CZ167" s="21">
        <f t="shared" si="283"/>
        <v>20.21</v>
      </c>
      <c r="DA167" s="21">
        <f t="shared" si="284"/>
        <v>20.88</v>
      </c>
      <c r="DB167" s="26">
        <f t="shared" si="285"/>
        <v>98.35</v>
      </c>
      <c r="DC167" s="26">
        <f t="shared" si="286"/>
        <v>98.35</v>
      </c>
      <c r="DD167" s="21">
        <f t="shared" si="287"/>
        <v>20.88</v>
      </c>
      <c r="DE167" s="21">
        <f t="shared" si="292"/>
        <v>18.86</v>
      </c>
      <c r="DF167" s="21">
        <f t="shared" si="293"/>
        <v>20.88</v>
      </c>
      <c r="DG167" s="21">
        <f t="shared" si="294"/>
        <v>20.21</v>
      </c>
      <c r="DH167" s="21">
        <f t="shared" si="288"/>
        <v>20.88</v>
      </c>
      <c r="DI167" s="21">
        <f t="shared" si="289"/>
        <v>20.21</v>
      </c>
      <c r="DJ167" s="26"/>
      <c r="DK167" s="26"/>
      <c r="DL167" s="26"/>
      <c r="DM167" s="26"/>
      <c r="DN167" s="26"/>
      <c r="DO167" s="26"/>
      <c r="DP167" s="26">
        <f t="shared" si="275"/>
        <v>121.91999999999999</v>
      </c>
      <c r="DQ167" s="21">
        <f t="shared" si="290"/>
        <v>220.27</v>
      </c>
      <c r="DR167" s="21">
        <f t="shared" si="291"/>
        <v>1145.73</v>
      </c>
    </row>
    <row r="168" spans="2:124" ht="16.5">
      <c r="B168" s="37">
        <v>42986</v>
      </c>
      <c r="C168" s="38" t="s">
        <v>433</v>
      </c>
      <c r="D168" s="38" t="s">
        <v>434</v>
      </c>
      <c r="E168" s="38" t="s">
        <v>121</v>
      </c>
      <c r="F168" s="39" t="s">
        <v>432</v>
      </c>
      <c r="G168" s="54">
        <v>9435.17</v>
      </c>
      <c r="H168" s="21">
        <f t="shared" si="278"/>
        <v>943.51700000000005</v>
      </c>
      <c r="I168" s="21">
        <f t="shared" si="279"/>
        <v>8491.6530000000002</v>
      </c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21"/>
      <c r="CM168" s="21"/>
      <c r="CN168" s="21"/>
      <c r="CO168" s="26"/>
      <c r="CP168" s="21"/>
      <c r="CQ168" s="21"/>
      <c r="CR168" s="21"/>
      <c r="CS168" s="21"/>
      <c r="CT168" s="27"/>
      <c r="CU168" s="21"/>
      <c r="CV168" s="21"/>
      <c r="CW168" s="21"/>
      <c r="CX168" s="21">
        <f>ROUND((I168/5/365*22),2)</f>
        <v>102.37</v>
      </c>
      <c r="CY168" s="21">
        <f t="shared" si="282"/>
        <v>144.24</v>
      </c>
      <c r="CZ168" s="21">
        <f t="shared" si="283"/>
        <v>139.59</v>
      </c>
      <c r="DA168" s="21">
        <f t="shared" si="284"/>
        <v>144.24</v>
      </c>
      <c r="DB168" s="26">
        <f t="shared" si="285"/>
        <v>530.44000000000005</v>
      </c>
      <c r="DC168" s="26">
        <f t="shared" si="286"/>
        <v>530.44000000000005</v>
      </c>
      <c r="DD168" s="21">
        <f t="shared" si="287"/>
        <v>144.24</v>
      </c>
      <c r="DE168" s="21">
        <f t="shared" si="292"/>
        <v>130.28</v>
      </c>
      <c r="DF168" s="21">
        <f t="shared" si="293"/>
        <v>144.24</v>
      </c>
      <c r="DG168" s="21">
        <f t="shared" si="294"/>
        <v>139.59</v>
      </c>
      <c r="DH168" s="21">
        <f t="shared" si="288"/>
        <v>144.24</v>
      </c>
      <c r="DI168" s="21">
        <f t="shared" si="289"/>
        <v>139.59</v>
      </c>
      <c r="DJ168" s="26"/>
      <c r="DK168" s="26"/>
      <c r="DL168" s="26"/>
      <c r="DM168" s="26"/>
      <c r="DN168" s="26"/>
      <c r="DO168" s="26"/>
      <c r="DP168" s="26">
        <f t="shared" si="275"/>
        <v>842.18000000000006</v>
      </c>
      <c r="DQ168" s="21">
        <f t="shared" si="290"/>
        <v>1372.62</v>
      </c>
      <c r="DR168" s="21">
        <f t="shared" si="291"/>
        <v>8062.55</v>
      </c>
    </row>
    <row r="169" spans="2:124" ht="82.5">
      <c r="B169" s="37">
        <v>43003</v>
      </c>
      <c r="C169" s="38" t="s">
        <v>435</v>
      </c>
      <c r="D169" s="38" t="s">
        <v>436</v>
      </c>
      <c r="E169" s="38" t="s">
        <v>121</v>
      </c>
      <c r="F169" s="39" t="s">
        <v>437</v>
      </c>
      <c r="G169" s="54">
        <v>7849.6</v>
      </c>
      <c r="H169" s="21">
        <f t="shared" si="278"/>
        <v>784.96</v>
      </c>
      <c r="I169" s="21">
        <f t="shared" si="279"/>
        <v>7064.64</v>
      </c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21"/>
      <c r="CM169" s="21"/>
      <c r="CN169" s="21"/>
      <c r="CO169" s="26"/>
      <c r="CP169" s="21"/>
      <c r="CQ169" s="21"/>
      <c r="CR169" s="21"/>
      <c r="CS169" s="21"/>
      <c r="CT169" s="27"/>
      <c r="CU169" s="21"/>
      <c r="CV169" s="21"/>
      <c r="CW169" s="21"/>
      <c r="CX169" s="21">
        <f>ROUND((I169/5/365*5),2)</f>
        <v>19.36</v>
      </c>
      <c r="CY169" s="21">
        <f>ROUND((I169/5/365*31),2)</f>
        <v>120</v>
      </c>
      <c r="CZ169" s="21">
        <f t="shared" si="283"/>
        <v>116.13</v>
      </c>
      <c r="DA169" s="21">
        <f>ROUND((I169/5/365*31),2)</f>
        <v>120</v>
      </c>
      <c r="DB169" s="26">
        <f t="shared" si="285"/>
        <v>375.49</v>
      </c>
      <c r="DC169" s="26">
        <f t="shared" si="286"/>
        <v>375.49</v>
      </c>
      <c r="DD169" s="21">
        <f t="shared" si="287"/>
        <v>120</v>
      </c>
      <c r="DE169" s="21">
        <f t="shared" si="292"/>
        <v>108.39</v>
      </c>
      <c r="DF169" s="21">
        <f>ROUND((I169/5/365*31),2)</f>
        <v>120</v>
      </c>
      <c r="DG169" s="21">
        <f t="shared" si="294"/>
        <v>116.13</v>
      </c>
      <c r="DH169" s="21">
        <f t="shared" si="288"/>
        <v>120</v>
      </c>
      <c r="DI169" s="21">
        <f t="shared" si="289"/>
        <v>116.13</v>
      </c>
      <c r="DJ169" s="26"/>
      <c r="DK169" s="26"/>
      <c r="DL169" s="26"/>
      <c r="DM169" s="26"/>
      <c r="DN169" s="26"/>
      <c r="DO169" s="26"/>
      <c r="DP169" s="26">
        <f>SUM(DD169:DO169)</f>
        <v>700.65</v>
      </c>
      <c r="DQ169" s="21">
        <f t="shared" si="290"/>
        <v>1076.1400000000001</v>
      </c>
      <c r="DR169" s="21">
        <f t="shared" si="291"/>
        <v>6773.46</v>
      </c>
      <c r="DS169" s="70"/>
    </row>
    <row r="170" spans="2:124" ht="24.75">
      <c r="B170" s="37">
        <v>43090</v>
      </c>
      <c r="C170" s="38" t="s">
        <v>438</v>
      </c>
      <c r="D170" s="38" t="s">
        <v>438</v>
      </c>
      <c r="E170" s="38" t="s">
        <v>98</v>
      </c>
      <c r="F170" s="224" t="s">
        <v>439</v>
      </c>
      <c r="G170" s="54">
        <v>795</v>
      </c>
      <c r="H170" s="21">
        <f t="shared" si="278"/>
        <v>79.5</v>
      </c>
      <c r="I170" s="21">
        <f>(G170*0.9)</f>
        <v>715.5</v>
      </c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21"/>
      <c r="CM170" s="21"/>
      <c r="CN170" s="21"/>
      <c r="CO170" s="26"/>
      <c r="CP170" s="21"/>
      <c r="CQ170" s="21"/>
      <c r="CR170" s="21"/>
      <c r="CS170" s="21"/>
      <c r="CT170" s="27"/>
      <c r="CU170" s="21"/>
      <c r="CV170" s="21"/>
      <c r="CW170" s="21"/>
      <c r="CX170" s="21"/>
      <c r="CY170" s="21"/>
      <c r="CZ170" s="21"/>
      <c r="DA170" s="21">
        <f>ROUND((I170/5/365*10),2)</f>
        <v>3.92</v>
      </c>
      <c r="DB170" s="26">
        <f t="shared" si="285"/>
        <v>3.92</v>
      </c>
      <c r="DC170" s="26">
        <f t="shared" si="286"/>
        <v>3.92</v>
      </c>
      <c r="DD170" s="21">
        <f t="shared" si="287"/>
        <v>12.15</v>
      </c>
      <c r="DE170" s="21">
        <f t="shared" si="292"/>
        <v>10.98</v>
      </c>
      <c r="DF170" s="21">
        <f>ROUND((I170/5/365*31),2)</f>
        <v>12.15</v>
      </c>
      <c r="DG170" s="21">
        <f t="shared" si="294"/>
        <v>11.76</v>
      </c>
      <c r="DH170" s="21">
        <f t="shared" si="288"/>
        <v>12.15</v>
      </c>
      <c r="DI170" s="21">
        <f t="shared" si="289"/>
        <v>11.76</v>
      </c>
      <c r="DJ170" s="26"/>
      <c r="DK170" s="26"/>
      <c r="DL170" s="26"/>
      <c r="DM170" s="26"/>
      <c r="DN170" s="26"/>
      <c r="DO170" s="26"/>
      <c r="DP170" s="26">
        <f>SUM(DD170:DO170)</f>
        <v>70.95</v>
      </c>
      <c r="DQ170" s="21">
        <f t="shared" si="290"/>
        <v>74.87</v>
      </c>
      <c r="DR170" s="21">
        <f t="shared" si="291"/>
        <v>720.13</v>
      </c>
      <c r="DS170" s="70"/>
    </row>
    <row r="171" spans="2:124" ht="9">
      <c r="B171" s="72" t="s">
        <v>440</v>
      </c>
      <c r="C171" s="31"/>
      <c r="D171" s="31"/>
      <c r="E171" s="73"/>
      <c r="F171" s="73"/>
      <c r="G171" s="74">
        <f>SUM(G86:G170)</f>
        <v>249142.23999999982</v>
      </c>
      <c r="H171" s="74">
        <f>SUM(H86:H170)</f>
        <v>24914.224000000006</v>
      </c>
      <c r="I171" s="74">
        <f>SUM(I86:I170)</f>
        <v>224228.01599999992</v>
      </c>
      <c r="J171" s="75">
        <f>SUM('[1]YA DEPRECIADOS ENERO-2017'!J157:J159)</f>
        <v>0</v>
      </c>
      <c r="K171" s="75">
        <f>SUM('[1]YA DEPRECIADOS ENERO-2017'!K157:K159)</f>
        <v>0</v>
      </c>
      <c r="L171" s="75">
        <f>SUM('[1]YA DEPRECIADOS ENERO-2017'!L157:L159)</f>
        <v>0</v>
      </c>
      <c r="M171" s="75">
        <f>SUM('[1]YA DEPRECIADOS ENERO-2017'!M157:M159)</f>
        <v>0</v>
      </c>
      <c r="N171" s="75">
        <f>SUM('[1]YA DEPRECIADOS ENERO-2017'!N157:N159)</f>
        <v>0</v>
      </c>
      <c r="O171" s="75">
        <f>SUM('[1]YA DEPRECIADOS ENERO-2017'!O157:O159)</f>
        <v>0</v>
      </c>
      <c r="P171" s="75">
        <f>SUM('[1]YA DEPRECIADOS ENERO-2017'!P157:P159)</f>
        <v>0</v>
      </c>
      <c r="Q171" s="75">
        <f>SUM('[1]YA DEPRECIADOS ENERO-2017'!Q157:Q159)</f>
        <v>0</v>
      </c>
      <c r="R171" s="75">
        <f>SUM('[1]YA DEPRECIADOS ENERO-2017'!R157:R159)</f>
        <v>0</v>
      </c>
      <c r="S171" s="75">
        <f>SUM('[1]YA DEPRECIADOS JULIO-13'!R109:R123)</f>
        <v>0</v>
      </c>
      <c r="T171" s="75" t="e">
        <f>SUM(#REF!)</f>
        <v>#REF!</v>
      </c>
      <c r="U171" s="75" t="e">
        <f>SUM(#REF!)</f>
        <v>#REF!</v>
      </c>
      <c r="V171" s="75">
        <f>SUM('[1]YA DEPRECIADOS ENERO-2017'!V157:V159)</f>
        <v>8.52</v>
      </c>
      <c r="W171" s="75">
        <f>SUM('[1]YA DEPRECIADOS ENERO- 2018'!W187:W193)</f>
        <v>0</v>
      </c>
      <c r="X171" s="75">
        <f>SUM('[1]YA DEPRECIADOS SEPT-2017'!W158:W158)</f>
        <v>0</v>
      </c>
      <c r="Y171" s="75">
        <f>SUM('[1]YA DEPRECIADOS SEPT-2017'!X158:X158)</f>
        <v>0</v>
      </c>
      <c r="Z171" s="75">
        <f>SUM('[1]YA DEPRECIADOS SEPT-2017'!Y158:Y158)</f>
        <v>0</v>
      </c>
      <c r="AA171" s="75">
        <f>SUM('[1]YA DEPRECIADOS SEPT-2017'!Z158:Z158)</f>
        <v>0</v>
      </c>
      <c r="AB171" s="75">
        <f>SUM('[1]YA DEPRECIADOS SEPT-2017'!AA158:AA158)</f>
        <v>0</v>
      </c>
      <c r="AC171" s="75">
        <f>SUM('[1]YA DEPRECIADOS SEPT-2017'!AB158:AB158)</f>
        <v>0</v>
      </c>
      <c r="AD171" s="75">
        <f>SUM('[1]YA DEPRECIADOS SEPT-2017'!AC158:AC158)</f>
        <v>0</v>
      </c>
      <c r="AE171" s="75">
        <f>SUM('[1]YA DEPRECIADOS OCTUBRE 2017'!AE166:AE166)</f>
        <v>0</v>
      </c>
      <c r="AF171" s="75">
        <f>SUM('[1]YA DEPRECIADOS OCTUBRE 2017'!AF166:AF169)</f>
        <v>4.68</v>
      </c>
      <c r="AG171" s="75">
        <f>SUM('[1]YA DEPRECIADOS OCTUBRE 2017'!AG166:AG169)</f>
        <v>130.13</v>
      </c>
      <c r="AH171" s="75">
        <f>SUM('[1]YA DEPRECIADOS ENERO- 2018'!AH187:AH192)</f>
        <v>0</v>
      </c>
      <c r="AI171" s="75">
        <f>SUM('[1]YA DEPRECIADOS ENERO- 2018'!AI187:AI193)</f>
        <v>94.87</v>
      </c>
      <c r="AJ171" s="75">
        <f>SUM('[1]YA DEPRECIADOS ENERO- 2018'!AJ187:AJ193)</f>
        <v>94.87</v>
      </c>
      <c r="AK171" s="75">
        <f>SUM(AK86:AK98)</f>
        <v>0</v>
      </c>
      <c r="AL171" s="75">
        <f>SUM('[1]YA DEPRECIADOS ENERO- 2018'!AL187:AL193)</f>
        <v>15585.3</v>
      </c>
      <c r="AM171" s="75">
        <f>SUM('[1]YA DEPRECIADOS ENERO- 2018'!AM187:AM193)</f>
        <v>239.12</v>
      </c>
      <c r="AN171" s="75">
        <f>SUM('[1]YA DEPRECIADOS ENERO- 2018'!AN187:AN193)</f>
        <v>264.75</v>
      </c>
      <c r="AO171" s="75">
        <f>SUM('[1]YA DEPRECIADOS ENERO- 2018'!AO187:AO193)</f>
        <v>256.20999999999998</v>
      </c>
      <c r="AP171" s="75">
        <f>SUM('[1]YA DEPRECIADOS ENERO- 2018'!AP187:AP193)</f>
        <v>264.75</v>
      </c>
      <c r="AQ171" s="75">
        <f>SUM('[1]YA DEPRECIADOS ENERO- 2018'!AQ187:AQ193)</f>
        <v>256.20999999999998</v>
      </c>
      <c r="AR171" s="75">
        <f>SUM('[1]YA DEPRECIADOS ENERO- 2018'!AR187:AR193)</f>
        <v>264.75</v>
      </c>
      <c r="AS171" s="75">
        <f>SUM('[1]YA DEPRECIADOS ENERO- 2018'!AS187:AS193)</f>
        <v>264.75</v>
      </c>
      <c r="AT171" s="75">
        <f>SUM(AT86:AT91)</f>
        <v>39.559999999999995</v>
      </c>
      <c r="AU171" s="75">
        <f>SUM(AU86:AU91)</f>
        <v>133.81</v>
      </c>
      <c r="AV171" s="75">
        <f>SUM(AV86:AV91)</f>
        <v>129.49</v>
      </c>
      <c r="AW171" s="75">
        <f>SUM(AW86:AW98)</f>
        <v>821.14999999999986</v>
      </c>
      <c r="AX171" s="75">
        <f>SUM(AX86:AX98)</f>
        <v>1124.0100000000002</v>
      </c>
      <c r="AY171" s="75">
        <f>SUM(AY86:AY100)</f>
        <v>1124.0100000000002</v>
      </c>
      <c r="AZ171" s="75">
        <f>SUM(AZ86:AZ98)</f>
        <v>2070.8500000000004</v>
      </c>
      <c r="BA171" s="75">
        <f>SUM(BA86:BA98)</f>
        <v>1870.4199999999998</v>
      </c>
      <c r="BB171" s="75">
        <f>SUM(BB86:BB99)</f>
        <v>2072.3300000000004</v>
      </c>
      <c r="BC171" s="75">
        <f t="shared" ref="BC171:BI171" si="296">SUM(BC86:BC100)</f>
        <v>2023.1399999999999</v>
      </c>
      <c r="BD171" s="75">
        <f t="shared" si="296"/>
        <v>2091.4900000000002</v>
      </c>
      <c r="BE171" s="75">
        <f t="shared" si="296"/>
        <v>2024.03</v>
      </c>
      <c r="BF171" s="75">
        <f t="shared" si="296"/>
        <v>2091.4900000000002</v>
      </c>
      <c r="BG171" s="75">
        <f t="shared" si="296"/>
        <v>2091.4900000000002</v>
      </c>
      <c r="BH171" s="75">
        <f t="shared" si="296"/>
        <v>2024.03</v>
      </c>
      <c r="BI171" s="75">
        <f t="shared" si="296"/>
        <v>2091.4900000000002</v>
      </c>
      <c r="BJ171" s="75">
        <f>SUM(BJ86:BJ108)</f>
        <v>2055.0500000000002</v>
      </c>
      <c r="BK171" s="75">
        <f>SUM(BK86:BK108)</f>
        <v>2204.1199999999994</v>
      </c>
      <c r="BL171" s="75">
        <f>SUM(BL86:BL108)</f>
        <v>24709.929999999989</v>
      </c>
      <c r="BM171" s="75">
        <f>SUM(BM86:BM108)</f>
        <v>25833.939999999988</v>
      </c>
      <c r="BN171" s="75">
        <f>SUM(BN86:BN110)</f>
        <v>2238.7500000000005</v>
      </c>
      <c r="BO171" s="75">
        <f>SUM(BO86:BO110)</f>
        <v>2232.39</v>
      </c>
      <c r="BP171" s="75">
        <f>SUM(BP86:BP110)</f>
        <v>2583.3200000000002</v>
      </c>
      <c r="BQ171" s="75">
        <f>SUM(BQ86:BQ110)</f>
        <v>2499.9799999999996</v>
      </c>
      <c r="BR171" s="75">
        <f>SUM(BR86:BR110)</f>
        <v>2583.3200000000002</v>
      </c>
      <c r="BS171" s="75">
        <f>SUM(BS86:BS122)</f>
        <v>2658.8599999999969</v>
      </c>
      <c r="BT171" s="75">
        <f>SUM(BT86:BT122)</f>
        <v>2807.1200000000013</v>
      </c>
      <c r="BU171" s="75">
        <f>SUM(BU86:BU122)</f>
        <v>2807.1200000000013</v>
      </c>
      <c r="BV171" s="75">
        <f>SUM(BV86:BV125)</f>
        <v>2725.3700000000013</v>
      </c>
      <c r="BW171" s="75">
        <f t="shared" ref="BW171:CK171" si="297">SUM(BW86:BW126)</f>
        <v>2846.0000000000014</v>
      </c>
      <c r="BX171" s="75">
        <f t="shared" si="297"/>
        <v>2765.7200000000016</v>
      </c>
      <c r="BY171" s="75">
        <f t="shared" si="297"/>
        <v>2859.2200000000012</v>
      </c>
      <c r="BZ171" s="75">
        <f t="shared" si="297"/>
        <v>31607.169999999995</v>
      </c>
      <c r="CA171" s="75">
        <f t="shared" si="297"/>
        <v>57441.11</v>
      </c>
      <c r="CB171" s="75">
        <f t="shared" si="297"/>
        <v>2859.2200000000012</v>
      </c>
      <c r="CC171" s="75">
        <f t="shared" si="297"/>
        <v>2674.7499999999968</v>
      </c>
      <c r="CD171" s="75">
        <f t="shared" si="297"/>
        <v>2859.2200000000012</v>
      </c>
      <c r="CE171" s="75">
        <f t="shared" si="297"/>
        <v>2767.0000000000018</v>
      </c>
      <c r="CF171" s="75">
        <f t="shared" si="297"/>
        <v>2859.2200000000012</v>
      </c>
      <c r="CG171" s="75">
        <f t="shared" si="297"/>
        <v>2767.0000000000018</v>
      </c>
      <c r="CH171" s="75">
        <f t="shared" si="297"/>
        <v>2859.2200000000012</v>
      </c>
      <c r="CI171" s="75">
        <f t="shared" si="297"/>
        <v>2859.2200000000012</v>
      </c>
      <c r="CJ171" s="75">
        <f t="shared" si="297"/>
        <v>2767.0000000000018</v>
      </c>
      <c r="CK171" s="75">
        <f t="shared" si="297"/>
        <v>2859.2200000000012</v>
      </c>
      <c r="CL171" s="75">
        <f t="shared" ref="CL171:CS171" si="298">SUM(CL86:CL132)</f>
        <v>2798.8500000000022</v>
      </c>
      <c r="CM171" s="75">
        <f t="shared" si="298"/>
        <v>2946.6000000000017</v>
      </c>
      <c r="CN171" s="75">
        <f t="shared" si="298"/>
        <v>33876.520000000004</v>
      </c>
      <c r="CO171" s="75">
        <f t="shared" si="298"/>
        <v>91317.629999999976</v>
      </c>
      <c r="CP171" s="75">
        <f t="shared" si="298"/>
        <v>2979.7400000000016</v>
      </c>
      <c r="CQ171" s="75">
        <f t="shared" si="298"/>
        <v>2691.3599999999988</v>
      </c>
      <c r="CR171" s="75">
        <f t="shared" si="298"/>
        <v>2979.7400000000016</v>
      </c>
      <c r="CS171" s="75">
        <f t="shared" si="298"/>
        <v>2883.6200000000022</v>
      </c>
      <c r="CT171" s="75">
        <f>SUM(CT86:CT139)</f>
        <v>2979.7400000000016</v>
      </c>
      <c r="CU171" s="75">
        <f>SUM(CU86:CU139)</f>
        <v>2947.3300000000022</v>
      </c>
      <c r="CV171" s="74">
        <f>SUM(CV86:CV158)</f>
        <v>3279.5599999999995</v>
      </c>
      <c r="CW171" s="74">
        <f>SUM(CW86:CW169)</f>
        <v>3497.7</v>
      </c>
      <c r="CX171" s="74">
        <f>SUM(CX86:CX169)</f>
        <v>3540.1600000000044</v>
      </c>
      <c r="CY171" s="74">
        <f>SUM(CY86:CY169)</f>
        <v>3796.7300000000014</v>
      </c>
      <c r="CZ171" s="74">
        <f>SUM(CZ86:CZ169)</f>
        <v>3674.1500000000046</v>
      </c>
      <c r="DA171" s="74">
        <f>SUM(DA86:DA170)</f>
        <v>3800.6500000000015</v>
      </c>
      <c r="DB171" s="74">
        <f>SUM(DB86:DB170)</f>
        <v>39050.48000000004</v>
      </c>
      <c r="DC171" s="74">
        <f>SUM(DC86:DC170)</f>
        <v>130368.10999999994</v>
      </c>
      <c r="DD171" s="74">
        <f>SUM(DD86:DD170)</f>
        <v>3808.8800000000015</v>
      </c>
      <c r="DE171" s="74"/>
      <c r="DF171" s="74">
        <f>SUM(DF86:DF170)</f>
        <v>3808.8800000000015</v>
      </c>
      <c r="DG171" s="74">
        <f>SUM(DG86:DG170)</f>
        <v>3685.9100000000049</v>
      </c>
      <c r="DH171" s="74">
        <f>SUM(DH86:DH170)</f>
        <v>3808.8800000000015</v>
      </c>
      <c r="DI171" s="74">
        <f>SUM(DI86:DI170)</f>
        <v>3685.9100000000049</v>
      </c>
      <c r="DJ171" s="74"/>
      <c r="DK171" s="74"/>
      <c r="DL171" s="74"/>
      <c r="DM171" s="74"/>
      <c r="DN171" s="74"/>
      <c r="DO171" s="74"/>
      <c r="DP171" s="74">
        <f>SUM(DP86:DP170)</f>
        <v>22238.629999999997</v>
      </c>
      <c r="DQ171" s="74">
        <f>SUM(DQ86:DQ170)</f>
        <v>152606.74000000005</v>
      </c>
      <c r="DR171" s="74">
        <f>SUM(DR86:DR170)</f>
        <v>96535.500000000044</v>
      </c>
    </row>
    <row r="172" spans="2:124" ht="9">
      <c r="B172" s="255" t="s">
        <v>9</v>
      </c>
      <c r="C172" s="256"/>
      <c r="D172" s="256"/>
      <c r="E172" s="256"/>
      <c r="F172" s="256"/>
      <c r="G172" s="74">
        <f>SUM(G24+G31+G84+G171)</f>
        <v>2156501.9571428574</v>
      </c>
      <c r="H172" s="74">
        <f>SUM(H24+H31+H84+H171)</f>
        <v>215650.22</v>
      </c>
      <c r="I172" s="74">
        <f>SUM(I24+I31+I84+I171)</f>
        <v>1940851.7614285713</v>
      </c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  <c r="AJ172" s="75"/>
      <c r="AK172" s="75"/>
      <c r="AL172" s="75"/>
      <c r="AM172" s="75"/>
      <c r="AN172" s="75"/>
      <c r="AO172" s="75"/>
      <c r="AP172" s="75"/>
      <c r="AQ172" s="75"/>
      <c r="AR172" s="75"/>
      <c r="AS172" s="75"/>
      <c r="AT172" s="75"/>
      <c r="AU172" s="75"/>
      <c r="AV172" s="75"/>
      <c r="AW172" s="75"/>
      <c r="AX172" s="75"/>
      <c r="AY172" s="75"/>
      <c r="AZ172" s="75"/>
      <c r="BA172" s="75"/>
      <c r="BB172" s="75"/>
      <c r="BC172" s="75"/>
      <c r="BD172" s="75"/>
      <c r="BE172" s="75"/>
      <c r="BF172" s="75"/>
      <c r="BG172" s="75"/>
      <c r="BH172" s="75"/>
      <c r="BI172" s="75"/>
      <c r="BJ172" s="75"/>
      <c r="BK172" s="75"/>
      <c r="BL172" s="75"/>
      <c r="BM172" s="75"/>
      <c r="BN172" s="75"/>
      <c r="BO172" s="75"/>
      <c r="BP172" s="75"/>
      <c r="BQ172" s="75"/>
      <c r="BR172" s="75"/>
      <c r="BS172" s="75"/>
      <c r="BT172" s="75"/>
      <c r="BU172" s="75"/>
      <c r="BV172" s="75"/>
      <c r="BW172" s="75"/>
      <c r="BX172" s="75"/>
      <c r="BY172" s="75"/>
      <c r="BZ172" s="75"/>
      <c r="CA172" s="75"/>
      <c r="CB172" s="75"/>
      <c r="CC172" s="75"/>
      <c r="CD172" s="75"/>
      <c r="CE172" s="75"/>
      <c r="CF172" s="75"/>
      <c r="CG172" s="75"/>
      <c r="CH172" s="75"/>
      <c r="CI172" s="75"/>
      <c r="CJ172" s="75"/>
      <c r="CK172" s="75"/>
      <c r="CL172" s="75"/>
      <c r="CM172" s="75"/>
      <c r="CN172" s="75"/>
      <c r="CO172" s="75"/>
      <c r="CP172" s="75"/>
      <c r="CQ172" s="75"/>
      <c r="CR172" s="75"/>
      <c r="CS172" s="75"/>
      <c r="CT172" s="75"/>
      <c r="CU172" s="75"/>
      <c r="CV172" s="74">
        <f t="shared" ref="CV172:DD172" si="299">SUM(CV24+CV31+CV84+CV171)</f>
        <v>11591.549999999997</v>
      </c>
      <c r="CW172" s="74">
        <f t="shared" si="299"/>
        <v>11815.16</v>
      </c>
      <c r="CX172" s="74">
        <f t="shared" si="299"/>
        <v>11611.400000000003</v>
      </c>
      <c r="CY172" s="74">
        <f t="shared" si="299"/>
        <v>12152.19</v>
      </c>
      <c r="CZ172" s="74">
        <f t="shared" si="299"/>
        <v>11776.590000000004</v>
      </c>
      <c r="DA172" s="74">
        <f t="shared" si="299"/>
        <v>12181.439999999999</v>
      </c>
      <c r="DB172" s="74">
        <f t="shared" si="299"/>
        <v>136976.46000000005</v>
      </c>
      <c r="DC172" s="74">
        <f t="shared" si="299"/>
        <v>1084084.93</v>
      </c>
      <c r="DD172" s="74">
        <f t="shared" si="299"/>
        <v>12189.669999999998</v>
      </c>
      <c r="DE172" s="74"/>
      <c r="DF172" s="74">
        <f>SUM(DF24+DF31+DF84+DF171)</f>
        <v>12409.199999999999</v>
      </c>
      <c r="DG172" s="74">
        <f>SUM(DG24+DG31+DG84+DG171)</f>
        <v>12099.450000000004</v>
      </c>
      <c r="DH172" s="74">
        <f>SUM(DH24+DH31+DH84+DH171)</f>
        <v>12502.859999999999</v>
      </c>
      <c r="DI172" s="74">
        <f>SUM(DI24+DI31+DI84+DI171)</f>
        <v>12089.110000000004</v>
      </c>
      <c r="DJ172" s="74"/>
      <c r="DK172" s="74"/>
      <c r="DL172" s="74"/>
      <c r="DM172" s="74"/>
      <c r="DN172" s="74"/>
      <c r="DO172" s="74"/>
      <c r="DP172" s="74">
        <f>SUM(DP24+DP31+DP84+DP171)</f>
        <v>72300.180000000008</v>
      </c>
      <c r="DQ172" s="74">
        <f>SUM(DQ24+DQ31+DQ84+DQ171)</f>
        <v>1156385.1099999999</v>
      </c>
      <c r="DR172" s="74">
        <f>SUM(DR24+DR31+DR84+DR171)</f>
        <v>1000116.8471428574</v>
      </c>
      <c r="DT172" s="233"/>
    </row>
    <row r="173" spans="2:124" ht="8.25">
      <c r="B173" s="257" t="s">
        <v>441</v>
      </c>
      <c r="C173" s="258"/>
      <c r="D173" s="47"/>
      <c r="E173" s="47"/>
      <c r="F173" s="36"/>
      <c r="G173" s="40"/>
      <c r="H173" s="21"/>
      <c r="I173" s="21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8"/>
      <c r="CX173" s="8"/>
      <c r="CY173" s="8"/>
      <c r="CZ173" s="8"/>
      <c r="DA173" s="8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70"/>
    </row>
    <row r="174" spans="2:124" ht="8.25">
      <c r="B174" s="23" t="s">
        <v>442</v>
      </c>
      <c r="C174" s="23" t="s">
        <v>443</v>
      </c>
      <c r="D174" s="23" t="s">
        <v>443</v>
      </c>
      <c r="E174" s="76"/>
      <c r="F174" s="76"/>
      <c r="G174" s="71">
        <v>7684</v>
      </c>
      <c r="H174" s="21">
        <f t="shared" ref="H174" si="300">(G174*0.1)</f>
        <v>768.40000000000009</v>
      </c>
      <c r="I174" s="21">
        <f t="shared" ref="I174:I175" si="301">(G174*0.9)</f>
        <v>6915.6</v>
      </c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77"/>
      <c r="AK174" s="77"/>
      <c r="AL174" s="77"/>
      <c r="AM174" s="77"/>
      <c r="AN174" s="77"/>
      <c r="AO174" s="77"/>
      <c r="AP174" s="77"/>
      <c r="AQ174" s="77"/>
      <c r="AR174" s="77"/>
      <c r="AS174" s="77"/>
      <c r="AT174" s="77"/>
      <c r="AU174" s="77"/>
      <c r="AV174" s="77"/>
      <c r="AW174" s="77"/>
      <c r="AX174" s="77"/>
      <c r="AY174" s="77"/>
      <c r="AZ174" s="77"/>
      <c r="BA174" s="77"/>
      <c r="BB174" s="77"/>
      <c r="BC174" s="77"/>
      <c r="BD174" s="77"/>
      <c r="BE174" s="77"/>
      <c r="BF174" s="77"/>
      <c r="BG174" s="77"/>
      <c r="BH174" s="77"/>
      <c r="BI174" s="77"/>
      <c r="BJ174" s="77"/>
      <c r="BK174" s="77"/>
      <c r="BL174" s="77"/>
      <c r="BM174" s="77"/>
      <c r="BN174" s="77"/>
      <c r="BO174" s="77"/>
      <c r="BP174" s="77"/>
      <c r="BQ174" s="77"/>
      <c r="BR174" s="77"/>
      <c r="BS174" s="77"/>
      <c r="BT174" s="77"/>
      <c r="BU174" s="77"/>
      <c r="BV174" s="77"/>
      <c r="BW174" s="77"/>
      <c r="BX174" s="77"/>
      <c r="BY174" s="77"/>
      <c r="BZ174" s="77"/>
      <c r="CA174" s="77"/>
      <c r="CB174" s="77"/>
      <c r="CC174" s="77"/>
      <c r="CD174" s="77"/>
      <c r="CE174" s="77"/>
      <c r="CF174" s="77"/>
      <c r="CG174" s="77"/>
      <c r="CH174" s="77"/>
      <c r="CI174" s="77"/>
      <c r="CJ174" s="77"/>
      <c r="CK174" s="77"/>
      <c r="CL174" s="77"/>
      <c r="CM174" s="77"/>
      <c r="CN174" s="77"/>
      <c r="CO174" s="77"/>
      <c r="CP174" s="77"/>
      <c r="CQ174" s="77"/>
      <c r="CR174" s="77"/>
      <c r="CS174" s="77"/>
      <c r="CT174" s="77"/>
      <c r="CU174" s="21">
        <f>ROUND((I174/5/365*0),2)</f>
        <v>0</v>
      </c>
      <c r="CV174" s="21">
        <v>0</v>
      </c>
      <c r="CW174" s="78" t="s">
        <v>444</v>
      </c>
      <c r="CX174" s="78" t="s">
        <v>444</v>
      </c>
      <c r="CY174" s="77"/>
      <c r="CZ174" s="77"/>
      <c r="DA174" s="77"/>
      <c r="DB174" s="26">
        <f t="shared" ref="DB174" si="302">SUM(CP174:DA174)</f>
        <v>0</v>
      </c>
      <c r="DC174" s="26">
        <f t="shared" ref="DC174" si="303">ROUND((CO174+DB174),2)</f>
        <v>0</v>
      </c>
      <c r="DD174" s="21">
        <f>ROUND((I174/5/365*31),2)</f>
        <v>117.47</v>
      </c>
      <c r="DE174" s="21">
        <f>ROUND((I174/5/365*28),2)</f>
        <v>106.1</v>
      </c>
      <c r="DF174" s="21">
        <f>ROUND((I174/5/365*31),2)</f>
        <v>117.47</v>
      </c>
      <c r="DG174" s="21">
        <f>ROUND((I174/5/365*30),2)</f>
        <v>113.68</v>
      </c>
      <c r="DH174" s="21">
        <f>ROUND((I174/5/365*31),2)</f>
        <v>117.47</v>
      </c>
      <c r="DI174" s="26"/>
      <c r="DJ174" s="26"/>
      <c r="DK174" s="26"/>
      <c r="DL174" s="26"/>
      <c r="DM174" s="26"/>
      <c r="DN174" s="26"/>
      <c r="DO174" s="26"/>
      <c r="DP174" s="26">
        <f>SUM(DD174:DO174)</f>
        <v>572.18999999999994</v>
      </c>
      <c r="DQ174" s="21">
        <f t="shared" ref="DQ174" si="304">ROUND((DC174+DD174+DE174+DF174+DG174+DH174+DI174+DJ174+DK174+DL174+DM174+DN174+DO174),2)</f>
        <v>572.19000000000005</v>
      </c>
      <c r="DR174" s="21">
        <f t="shared" ref="DR174:DR175" si="305">SUM(G174-DQ174)</f>
        <v>7111.8099999999995</v>
      </c>
    </row>
    <row r="175" spans="2:124" ht="12.75" customHeight="1">
      <c r="B175" s="23" t="s">
        <v>445</v>
      </c>
      <c r="C175" s="23" t="s">
        <v>446</v>
      </c>
      <c r="D175" s="23" t="s">
        <v>446</v>
      </c>
      <c r="E175" s="76"/>
      <c r="F175" s="76"/>
      <c r="G175" s="71">
        <v>67800</v>
      </c>
      <c r="H175" s="21">
        <f>(G175*0.1)</f>
        <v>6780</v>
      </c>
      <c r="I175" s="21">
        <f t="shared" si="301"/>
        <v>61020</v>
      </c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  <c r="AH175" s="77"/>
      <c r="AI175" s="77"/>
      <c r="AJ175" s="77"/>
      <c r="AK175" s="77"/>
      <c r="AL175" s="77"/>
      <c r="AM175" s="77"/>
      <c r="AN175" s="77"/>
      <c r="AO175" s="77"/>
      <c r="AP175" s="77"/>
      <c r="AQ175" s="77"/>
      <c r="AR175" s="77"/>
      <c r="AS175" s="77"/>
      <c r="AT175" s="77"/>
      <c r="AU175" s="77"/>
      <c r="AV175" s="77"/>
      <c r="AW175" s="77"/>
      <c r="AX175" s="77"/>
      <c r="AY175" s="77"/>
      <c r="AZ175" s="77"/>
      <c r="BA175" s="77"/>
      <c r="BB175" s="77"/>
      <c r="BC175" s="77"/>
      <c r="BD175" s="77"/>
      <c r="BE175" s="77"/>
      <c r="BF175" s="77"/>
      <c r="BG175" s="77"/>
      <c r="BH175" s="77"/>
      <c r="BI175" s="77"/>
      <c r="BJ175" s="77"/>
      <c r="BK175" s="77"/>
      <c r="BL175" s="77"/>
      <c r="BM175" s="77"/>
      <c r="BN175" s="77"/>
      <c r="BO175" s="77"/>
      <c r="BP175" s="77"/>
      <c r="BQ175" s="77"/>
      <c r="BR175" s="77"/>
      <c r="BS175" s="77"/>
      <c r="BT175" s="77"/>
      <c r="BU175" s="77"/>
      <c r="BV175" s="77"/>
      <c r="BW175" s="77"/>
      <c r="BX175" s="77"/>
      <c r="BY175" s="77"/>
      <c r="BZ175" s="77"/>
      <c r="CA175" s="77"/>
      <c r="CB175" s="77"/>
      <c r="CC175" s="77"/>
      <c r="CD175" s="77"/>
      <c r="CE175" s="77"/>
      <c r="CF175" s="77"/>
      <c r="CG175" s="77"/>
      <c r="CH175" s="77"/>
      <c r="CI175" s="77"/>
      <c r="CJ175" s="77"/>
      <c r="CK175" s="77"/>
      <c r="CL175" s="77"/>
      <c r="CM175" s="77"/>
      <c r="CN175" s="77"/>
      <c r="CO175" s="77"/>
      <c r="CP175" s="77"/>
      <c r="CQ175" s="77"/>
      <c r="CR175" s="77"/>
      <c r="CS175" s="77"/>
      <c r="CT175" s="77"/>
      <c r="CU175" s="21"/>
      <c r="CV175" s="21"/>
      <c r="CW175" s="78"/>
      <c r="CX175" s="78"/>
      <c r="CY175" s="77"/>
      <c r="CZ175" s="77"/>
      <c r="DA175" s="77"/>
      <c r="DB175" s="26"/>
      <c r="DC175" s="26"/>
      <c r="DD175" s="21">
        <f>ROUND((I175/5/365*31),2)</f>
        <v>1036.5</v>
      </c>
      <c r="DE175" s="21">
        <f>ROUND((I175/5/365*28),2)</f>
        <v>936.2</v>
      </c>
      <c r="DF175" s="21">
        <f>ROUND((I175/5/365*31),2)</f>
        <v>1036.5</v>
      </c>
      <c r="DG175" s="21">
        <f>ROUND((I175/5/365*30),2)</f>
        <v>1003.07</v>
      </c>
      <c r="DH175" s="21">
        <f>ROUND((I175/5/365*31),2)</f>
        <v>1036.5</v>
      </c>
      <c r="DI175" s="26"/>
      <c r="DJ175" s="26"/>
      <c r="DK175" s="26"/>
      <c r="DL175" s="26"/>
      <c r="DM175" s="26"/>
      <c r="DN175" s="26"/>
      <c r="DO175" s="26"/>
      <c r="DP175" s="26">
        <f>SUM(DD175:DO175)</f>
        <v>5048.7700000000004</v>
      </c>
      <c r="DQ175" s="21">
        <f>ROUND((DC175+DD175+DE175+DF175+DG175+DH175+DI175+DJ175+DK175+DL175+DM175+DN175+DO175),2)</f>
        <v>5048.7700000000004</v>
      </c>
      <c r="DR175" s="21">
        <f t="shared" si="305"/>
        <v>62751.229999999996</v>
      </c>
    </row>
    <row r="176" spans="2:124" s="234" customFormat="1" ht="8.25" customHeight="1" thickBot="1">
      <c r="B176" s="72" t="s">
        <v>447</v>
      </c>
      <c r="C176" s="79"/>
      <c r="D176" s="80"/>
      <c r="E176" s="79"/>
      <c r="F176" s="79"/>
      <c r="G176" s="81">
        <f>SUM(G174:G175)</f>
        <v>75484</v>
      </c>
      <c r="H176" s="81">
        <f>SUM(H174:H175)</f>
        <v>7548.4</v>
      </c>
      <c r="I176" s="81">
        <f>SUM(I174:I175)</f>
        <v>67935.600000000006</v>
      </c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2"/>
      <c r="AR176" s="82"/>
      <c r="AS176" s="82"/>
      <c r="AT176" s="82"/>
      <c r="AU176" s="82"/>
      <c r="AV176" s="82"/>
      <c r="AW176" s="82"/>
      <c r="AX176" s="82"/>
      <c r="AY176" s="82"/>
      <c r="AZ176" s="82"/>
      <c r="BA176" s="82"/>
      <c r="BB176" s="82"/>
      <c r="BC176" s="82"/>
      <c r="BD176" s="82"/>
      <c r="BE176" s="82"/>
      <c r="BF176" s="82"/>
      <c r="BG176" s="82"/>
      <c r="BH176" s="82"/>
      <c r="BI176" s="82"/>
      <c r="BJ176" s="82"/>
      <c r="BK176" s="82"/>
      <c r="BL176" s="82"/>
      <c r="BM176" s="82"/>
      <c r="BN176" s="82"/>
      <c r="BO176" s="82"/>
      <c r="BP176" s="82"/>
      <c r="BQ176" s="82"/>
      <c r="BR176" s="82"/>
      <c r="BS176" s="82"/>
      <c r="BT176" s="82"/>
      <c r="BU176" s="82"/>
      <c r="BV176" s="82"/>
      <c r="BW176" s="82"/>
      <c r="BX176" s="82"/>
      <c r="BY176" s="82"/>
      <c r="BZ176" s="82"/>
      <c r="CA176" s="82"/>
      <c r="CB176" s="82"/>
      <c r="CC176" s="82"/>
      <c r="CD176" s="82"/>
      <c r="CE176" s="82"/>
      <c r="CF176" s="82"/>
      <c r="CG176" s="82"/>
      <c r="CH176" s="82"/>
      <c r="CI176" s="82"/>
      <c r="CJ176" s="82"/>
      <c r="CK176" s="82"/>
      <c r="CL176" s="82"/>
      <c r="CM176" s="82"/>
      <c r="CN176" s="82"/>
      <c r="CO176" s="82"/>
      <c r="CP176" s="82"/>
      <c r="CQ176" s="82"/>
      <c r="CR176" s="82"/>
      <c r="CS176" s="82"/>
      <c r="CT176" s="82"/>
      <c r="CU176" s="83"/>
      <c r="CV176" s="83"/>
      <c r="CW176" s="82"/>
      <c r="CX176" s="82"/>
      <c r="CY176" s="82"/>
      <c r="CZ176" s="82"/>
      <c r="DA176" s="82"/>
      <c r="DB176" s="84"/>
      <c r="DC176" s="84"/>
      <c r="DD176" s="83"/>
      <c r="DE176" s="81">
        <f>SUM(DE174:DE175)</f>
        <v>1042.3</v>
      </c>
      <c r="DF176" s="81">
        <f>SUM(DF174:DF175)</f>
        <v>1153.97</v>
      </c>
      <c r="DG176" s="81">
        <f>SUM(DG174:DG175)</f>
        <v>1116.75</v>
      </c>
      <c r="DH176" s="81">
        <f>SUM(DH174:DH175)</f>
        <v>1153.97</v>
      </c>
      <c r="DI176" s="84"/>
      <c r="DJ176" s="84"/>
      <c r="DK176" s="84"/>
      <c r="DL176" s="84"/>
      <c r="DM176" s="84"/>
      <c r="DN176" s="84"/>
      <c r="DO176" s="84"/>
      <c r="DP176" s="81">
        <f>SUM(DP174:DP175)</f>
        <v>5620.96</v>
      </c>
      <c r="DQ176" s="81">
        <f>SUM(DQ174:DQ175)</f>
        <v>5620.9600000000009</v>
      </c>
      <c r="DR176" s="83">
        <f>SUM(DR174:DR175)</f>
        <v>69863.039999999994</v>
      </c>
    </row>
    <row r="177" spans="2:122" ht="12.75" thickBot="1">
      <c r="B177" s="259" t="s">
        <v>448</v>
      </c>
      <c r="C177" s="260"/>
      <c r="D177" s="260"/>
      <c r="E177" s="260"/>
      <c r="F177" s="260"/>
      <c r="G177" s="260"/>
      <c r="H177" s="260"/>
      <c r="I177" s="260"/>
      <c r="J177" s="260"/>
      <c r="K177" s="260"/>
      <c r="L177" s="260"/>
      <c r="M177" s="260"/>
      <c r="N177" s="260"/>
      <c r="O177" s="260"/>
      <c r="P177" s="260"/>
      <c r="Q177" s="260"/>
      <c r="R177" s="260"/>
      <c r="S177" s="260"/>
      <c r="T177" s="260"/>
      <c r="U177" s="260"/>
      <c r="V177" s="260"/>
      <c r="W177" s="260"/>
      <c r="X177" s="260"/>
      <c r="Y177" s="260"/>
      <c r="Z177" s="260"/>
      <c r="AA177" s="260"/>
      <c r="AB177" s="260"/>
      <c r="AC177" s="260"/>
      <c r="AD177" s="260"/>
      <c r="AE177" s="260"/>
      <c r="AF177" s="260"/>
      <c r="AG177" s="260"/>
      <c r="AH177" s="260"/>
      <c r="AI177" s="260"/>
      <c r="AJ177" s="260"/>
      <c r="AK177" s="260"/>
      <c r="AL177" s="260"/>
      <c r="AM177" s="260"/>
      <c r="AN177" s="260"/>
      <c r="AO177" s="260"/>
      <c r="AP177" s="260"/>
      <c r="AQ177" s="260"/>
      <c r="AR177" s="260"/>
      <c r="AS177" s="260"/>
      <c r="AT177" s="260"/>
      <c r="AU177" s="260"/>
      <c r="AV177" s="260"/>
      <c r="AW177" s="260"/>
      <c r="AX177" s="260"/>
      <c r="AY177" s="260"/>
      <c r="AZ177" s="260"/>
      <c r="BA177" s="260"/>
      <c r="BB177" s="260"/>
      <c r="BC177" s="260"/>
      <c r="BD177" s="260"/>
      <c r="BE177" s="260"/>
      <c r="BF177" s="260"/>
      <c r="BG177" s="260"/>
      <c r="BH177" s="260"/>
      <c r="BI177" s="260"/>
      <c r="BJ177" s="260"/>
      <c r="BK177" s="260"/>
      <c r="BL177" s="260"/>
      <c r="BM177" s="260"/>
      <c r="BN177" s="260"/>
      <c r="BO177" s="260"/>
      <c r="BP177" s="260"/>
      <c r="BQ177" s="260"/>
      <c r="BR177" s="260"/>
      <c r="BS177" s="260"/>
      <c r="BT177" s="260"/>
      <c r="BU177" s="260"/>
      <c r="BV177" s="260"/>
      <c r="BW177" s="260"/>
      <c r="BX177" s="260"/>
      <c r="BY177" s="260"/>
      <c r="BZ177" s="260"/>
      <c r="CA177" s="260"/>
      <c r="CB177" s="260"/>
      <c r="CC177" s="260"/>
      <c r="CD177" s="260"/>
      <c r="CE177" s="260"/>
      <c r="CF177" s="260"/>
      <c r="CG177" s="260"/>
      <c r="CH177" s="260"/>
      <c r="CI177" s="260"/>
      <c r="CJ177" s="260"/>
      <c r="CK177" s="260"/>
      <c r="CL177" s="260"/>
      <c r="CM177" s="260"/>
      <c r="CN177" s="260"/>
      <c r="CO177" s="260"/>
      <c r="CP177" s="260"/>
      <c r="CQ177" s="260"/>
      <c r="CR177" s="260"/>
      <c r="CS177" s="260"/>
      <c r="CT177" s="260"/>
      <c r="CU177" s="260"/>
      <c r="CV177" s="260"/>
      <c r="CW177" s="260"/>
      <c r="CX177" s="260"/>
      <c r="CY177" s="260"/>
      <c r="CZ177" s="260"/>
      <c r="DA177" s="260"/>
      <c r="DB177" s="260"/>
      <c r="DC177" s="260"/>
      <c r="DD177" s="260"/>
      <c r="DE177" s="260"/>
      <c r="DF177" s="260"/>
      <c r="DG177" s="260"/>
      <c r="DH177" s="260"/>
      <c r="DI177" s="260"/>
      <c r="DJ177" s="260"/>
      <c r="DK177" s="260"/>
      <c r="DL177" s="260"/>
      <c r="DM177" s="260"/>
      <c r="DN177" s="260"/>
      <c r="DO177" s="260"/>
      <c r="DP177" s="260"/>
      <c r="DQ177" s="260"/>
      <c r="DR177" s="261"/>
    </row>
    <row r="178" spans="2:122" ht="8.25">
      <c r="B178" s="262" t="s">
        <v>449</v>
      </c>
      <c r="C178" s="263"/>
      <c r="D178" s="263"/>
      <c r="E178" s="263"/>
      <c r="F178" s="263"/>
      <c r="G178" s="263"/>
      <c r="H178" s="263"/>
      <c r="I178" s="263"/>
      <c r="J178" s="263"/>
      <c r="K178" s="263"/>
      <c r="L178" s="263"/>
      <c r="M178" s="263"/>
      <c r="N178" s="263"/>
      <c r="O178" s="263"/>
      <c r="P178" s="263"/>
      <c r="Q178" s="263"/>
      <c r="R178" s="263"/>
      <c r="S178" s="263"/>
      <c r="T178" s="263"/>
      <c r="U178" s="263"/>
      <c r="V178" s="263"/>
      <c r="W178" s="263"/>
      <c r="X178" s="263"/>
      <c r="Y178" s="263"/>
      <c r="Z178" s="263"/>
      <c r="AA178" s="263"/>
      <c r="AB178" s="263"/>
      <c r="AC178" s="263"/>
      <c r="AD178" s="263"/>
      <c r="AE178" s="263"/>
      <c r="AF178" s="263"/>
      <c r="AG178" s="263"/>
      <c r="AH178" s="263"/>
      <c r="AI178" s="263"/>
      <c r="AJ178" s="263"/>
      <c r="AK178" s="263"/>
      <c r="AL178" s="263"/>
      <c r="AM178" s="263"/>
      <c r="AN178" s="263"/>
      <c r="AO178" s="263"/>
      <c r="AP178" s="263"/>
      <c r="AQ178" s="263"/>
      <c r="AR178" s="263"/>
      <c r="AS178" s="263"/>
      <c r="AT178" s="263"/>
      <c r="AU178" s="263"/>
      <c r="AV178" s="263"/>
      <c r="AW178" s="263"/>
      <c r="AX178" s="263"/>
      <c r="AY178" s="263"/>
      <c r="AZ178" s="263"/>
      <c r="BA178" s="263"/>
      <c r="BB178" s="263"/>
      <c r="BC178" s="263"/>
      <c r="BD178" s="263"/>
      <c r="BE178" s="263"/>
      <c r="BF178" s="263"/>
      <c r="BG178" s="263"/>
      <c r="BH178" s="263"/>
      <c r="BI178" s="263"/>
      <c r="BJ178" s="263"/>
      <c r="BK178" s="263"/>
      <c r="BL178" s="263"/>
      <c r="BM178" s="263"/>
      <c r="BN178" s="263"/>
      <c r="BO178" s="263"/>
      <c r="BP178" s="263"/>
      <c r="BQ178" s="263"/>
      <c r="BR178" s="263"/>
      <c r="BS178" s="263"/>
      <c r="BT178" s="263"/>
      <c r="BU178" s="263"/>
      <c r="BV178" s="263"/>
      <c r="BW178" s="263"/>
      <c r="BX178" s="263"/>
      <c r="BY178" s="263"/>
      <c r="BZ178" s="263"/>
      <c r="CA178" s="263"/>
      <c r="CB178" s="263"/>
      <c r="CC178" s="263"/>
      <c r="CD178" s="263"/>
      <c r="CE178" s="263"/>
      <c r="CF178" s="263"/>
      <c r="CG178" s="263"/>
      <c r="CH178" s="263"/>
      <c r="CI178" s="263"/>
      <c r="CJ178" s="263"/>
      <c r="CK178" s="263"/>
      <c r="CL178" s="263"/>
      <c r="CM178" s="263"/>
      <c r="CN178" s="263"/>
      <c r="CO178" s="263"/>
      <c r="CP178" s="263"/>
      <c r="CQ178" s="263"/>
      <c r="CR178" s="263"/>
      <c r="CS178" s="263"/>
      <c r="CT178" s="263"/>
      <c r="CU178" s="263"/>
      <c r="CV178" s="263"/>
      <c r="CW178" s="263"/>
      <c r="CX178" s="263"/>
      <c r="CY178" s="263"/>
      <c r="CZ178" s="263"/>
      <c r="DA178" s="263"/>
      <c r="DB178" s="263"/>
      <c r="DC178" s="263"/>
      <c r="DD178" s="263"/>
      <c r="DE178" s="263"/>
      <c r="DF178" s="263"/>
      <c r="DG178" s="263"/>
      <c r="DH178" s="263"/>
      <c r="DI178" s="263"/>
      <c r="DJ178" s="263"/>
      <c r="DK178" s="263"/>
      <c r="DL178" s="263"/>
      <c r="DM178" s="263"/>
      <c r="DN178" s="263"/>
      <c r="DO178" s="263"/>
      <c r="DP178" s="263"/>
      <c r="DQ178" s="263"/>
      <c r="DR178" s="263"/>
    </row>
    <row r="179" spans="2:122" ht="49.5">
      <c r="B179" s="35">
        <v>41898</v>
      </c>
      <c r="C179" s="47" t="s">
        <v>450</v>
      </c>
      <c r="D179" s="47" t="s">
        <v>451</v>
      </c>
      <c r="E179" s="36" t="s">
        <v>105</v>
      </c>
      <c r="F179" s="36" t="s">
        <v>452</v>
      </c>
      <c r="G179" s="71">
        <v>1500</v>
      </c>
      <c r="H179" s="21">
        <f>(G179*0.1)</f>
        <v>150</v>
      </c>
      <c r="I179" s="21">
        <f>(G179*0.9)</f>
        <v>1350</v>
      </c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21">
        <f t="shared" ref="AY179:AY181" si="306">ROUND((AK179+AL179+AM179+AN179+AO179+AP179+AQ179+AR179+AS179+AT179+AU179+AV179+AW179),2)</f>
        <v>0</v>
      </c>
      <c r="AZ179" s="34"/>
      <c r="BA179" s="34"/>
      <c r="BB179" s="34"/>
      <c r="BC179" s="34"/>
      <c r="BD179" s="34"/>
      <c r="BE179" s="34"/>
      <c r="BF179" s="34"/>
      <c r="BG179" s="34"/>
      <c r="BH179" s="21">
        <v>10.36</v>
      </c>
      <c r="BI179" s="21">
        <f>ROUND((I179/5/365*15),2)</f>
        <v>11.1</v>
      </c>
      <c r="BJ179" s="21">
        <v>0</v>
      </c>
      <c r="BK179" s="21">
        <v>0</v>
      </c>
      <c r="BL179" s="21">
        <v>21.46</v>
      </c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7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>
        <v>21.46</v>
      </c>
      <c r="DR179" s="21">
        <f>SUM(G179-DQ179)</f>
        <v>1478.54</v>
      </c>
    </row>
    <row r="180" spans="2:122" ht="49.5">
      <c r="B180" s="35">
        <v>41898</v>
      </c>
      <c r="C180" s="47" t="s">
        <v>450</v>
      </c>
      <c r="D180" s="47" t="s">
        <v>453</v>
      </c>
      <c r="E180" s="36" t="s">
        <v>105</v>
      </c>
      <c r="F180" s="36" t="s">
        <v>454</v>
      </c>
      <c r="G180" s="71">
        <v>1500</v>
      </c>
      <c r="H180" s="21">
        <f t="shared" ref="H180:H181" si="307">(G180*0.1)</f>
        <v>150</v>
      </c>
      <c r="I180" s="21">
        <f>(G180*0.9)</f>
        <v>1350</v>
      </c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21">
        <f t="shared" si="306"/>
        <v>0</v>
      </c>
      <c r="AZ180" s="34"/>
      <c r="BA180" s="34"/>
      <c r="BB180" s="34"/>
      <c r="BC180" s="34"/>
      <c r="BD180" s="34"/>
      <c r="BE180" s="34"/>
      <c r="BF180" s="34"/>
      <c r="BG180" s="34"/>
      <c r="BH180" s="21">
        <v>10.36</v>
      </c>
      <c r="BI180" s="21">
        <f>ROUND((I180/5/365*15),2)</f>
        <v>11.1</v>
      </c>
      <c r="BJ180" s="21">
        <v>0</v>
      </c>
      <c r="BK180" s="21">
        <v>0</v>
      </c>
      <c r="BL180" s="21">
        <v>21.46</v>
      </c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7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>
        <v>21.46</v>
      </c>
      <c r="DR180" s="21">
        <f>SUM(G180-DQ180)</f>
        <v>1478.54</v>
      </c>
    </row>
    <row r="181" spans="2:122" ht="49.5">
      <c r="B181" s="35">
        <v>41898</v>
      </c>
      <c r="C181" s="47" t="s">
        <v>450</v>
      </c>
      <c r="D181" s="47" t="s">
        <v>455</v>
      </c>
      <c r="E181" s="36" t="s">
        <v>105</v>
      </c>
      <c r="F181" s="36" t="s">
        <v>456</v>
      </c>
      <c r="G181" s="71">
        <v>1500</v>
      </c>
      <c r="H181" s="21">
        <f t="shared" si="307"/>
        <v>150</v>
      </c>
      <c r="I181" s="21">
        <f t="shared" ref="I181" si="308">(G181*0.9)</f>
        <v>1350</v>
      </c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21">
        <f t="shared" si="306"/>
        <v>0</v>
      </c>
      <c r="AZ181" s="34"/>
      <c r="BA181" s="34"/>
      <c r="BB181" s="34"/>
      <c r="BC181" s="34"/>
      <c r="BD181" s="34"/>
      <c r="BE181" s="34"/>
      <c r="BF181" s="34"/>
      <c r="BG181" s="34"/>
      <c r="BH181" s="21">
        <v>10.36</v>
      </c>
      <c r="BI181" s="21">
        <f>ROUND((I181/5/365*15),2)</f>
        <v>11.1</v>
      </c>
      <c r="BJ181" s="21">
        <v>0</v>
      </c>
      <c r="BK181" s="21">
        <v>0</v>
      </c>
      <c r="BL181" s="21">
        <v>21.46</v>
      </c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7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>
        <v>21.46</v>
      </c>
      <c r="DR181" s="21">
        <f>SUM(G181-DQ181)</f>
        <v>1478.54</v>
      </c>
    </row>
    <row r="182" spans="2:122" ht="9">
      <c r="B182" s="76" t="s">
        <v>447</v>
      </c>
      <c r="C182" s="47"/>
      <c r="D182" s="47"/>
      <c r="E182" s="85"/>
      <c r="F182" s="85"/>
      <c r="G182" s="83">
        <f>SUM(G179:G181)</f>
        <v>4500</v>
      </c>
      <c r="H182" s="83">
        <f>SUM(H179:H181)</f>
        <v>450</v>
      </c>
      <c r="I182" s="83">
        <f>SUM(I179:I181)</f>
        <v>4050</v>
      </c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  <c r="AG182" s="83"/>
      <c r="AH182" s="83"/>
      <c r="AI182" s="83"/>
      <c r="AJ182" s="83"/>
      <c r="AK182" s="83"/>
      <c r="AL182" s="83"/>
      <c r="AM182" s="83"/>
      <c r="AN182" s="83"/>
      <c r="AO182" s="83"/>
      <c r="AP182" s="83"/>
      <c r="AQ182" s="83"/>
      <c r="AR182" s="83"/>
      <c r="AS182" s="83"/>
      <c r="AT182" s="83"/>
      <c r="AU182" s="83"/>
      <c r="AV182" s="83"/>
      <c r="AW182" s="83"/>
      <c r="AX182" s="83"/>
      <c r="AY182" s="83"/>
      <c r="AZ182" s="83"/>
      <c r="BA182" s="83"/>
      <c r="BB182" s="83"/>
      <c r="BC182" s="83"/>
      <c r="BD182" s="83"/>
      <c r="BE182" s="83"/>
      <c r="BF182" s="83"/>
      <c r="BG182" s="83"/>
      <c r="BH182" s="83"/>
      <c r="BI182" s="83">
        <f>SUM(BI179:BI181)</f>
        <v>33.299999999999997</v>
      </c>
      <c r="BJ182" s="83">
        <f>SUM(BJ179:BJ181)</f>
        <v>0</v>
      </c>
      <c r="BK182" s="86">
        <v>0</v>
      </c>
      <c r="BL182" s="83">
        <f>SUM(BL179:BL181)</f>
        <v>64.38</v>
      </c>
      <c r="BM182" s="83"/>
      <c r="BN182" s="83"/>
      <c r="BO182" s="83"/>
      <c r="BP182" s="83"/>
      <c r="BQ182" s="83"/>
      <c r="BR182" s="83"/>
      <c r="BS182" s="83"/>
      <c r="BT182" s="83"/>
      <c r="BU182" s="83"/>
      <c r="BV182" s="83"/>
      <c r="BW182" s="83"/>
      <c r="BX182" s="83"/>
      <c r="BY182" s="83"/>
      <c r="BZ182" s="83"/>
      <c r="CA182" s="83"/>
      <c r="CB182" s="83"/>
      <c r="CC182" s="83"/>
      <c r="CD182" s="83"/>
      <c r="CE182" s="83"/>
      <c r="CF182" s="83"/>
      <c r="CG182" s="83"/>
      <c r="CH182" s="83"/>
      <c r="CI182" s="83"/>
      <c r="CJ182" s="83"/>
      <c r="CK182" s="83"/>
      <c r="CL182" s="83"/>
      <c r="CM182" s="83"/>
      <c r="CN182" s="83"/>
      <c r="CO182" s="83"/>
      <c r="CP182" s="83"/>
      <c r="CQ182" s="83"/>
      <c r="CR182" s="83"/>
      <c r="CS182" s="83"/>
      <c r="CT182" s="87"/>
      <c r="CU182" s="83"/>
      <c r="CV182" s="83"/>
      <c r="CW182" s="83"/>
      <c r="CX182" s="83"/>
      <c r="CY182" s="83"/>
      <c r="CZ182" s="83"/>
      <c r="DA182" s="83"/>
      <c r="DB182" s="83"/>
      <c r="DC182" s="83"/>
      <c r="DD182" s="83"/>
      <c r="DE182" s="83"/>
      <c r="DF182" s="83"/>
      <c r="DG182" s="83"/>
      <c r="DH182" s="83"/>
      <c r="DI182" s="83"/>
      <c r="DJ182" s="83"/>
      <c r="DK182" s="83"/>
      <c r="DL182" s="83"/>
      <c r="DM182" s="83"/>
      <c r="DN182" s="83"/>
      <c r="DO182" s="83"/>
      <c r="DP182" s="83"/>
      <c r="DQ182" s="83">
        <f>SUM(DQ179:DQ181)</f>
        <v>64.38</v>
      </c>
      <c r="DR182" s="83">
        <f>SUM(DR179:DR181)</f>
        <v>4435.62</v>
      </c>
    </row>
    <row r="183" spans="2:122" ht="8.25" customHeight="1">
      <c r="B183" s="88"/>
      <c r="C183" s="52"/>
      <c r="D183" s="52"/>
      <c r="E183" s="89"/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0"/>
      <c r="AP183" s="90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0"/>
      <c r="BB183" s="90"/>
      <c r="BC183" s="90"/>
      <c r="BD183" s="90"/>
      <c r="BE183" s="90"/>
      <c r="BF183" s="90"/>
      <c r="BG183" s="90"/>
      <c r="BH183" s="90"/>
      <c r="BI183" s="90"/>
      <c r="BJ183" s="90"/>
      <c r="BK183" s="91"/>
      <c r="BL183" s="90"/>
      <c r="BM183" s="90"/>
      <c r="BN183" s="90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0"/>
      <c r="BZ183" s="90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90"/>
      <c r="CM183" s="90"/>
      <c r="CN183" s="90"/>
      <c r="CO183" s="90"/>
      <c r="CP183" s="90"/>
      <c r="CQ183" s="90"/>
      <c r="CR183" s="90"/>
      <c r="CS183" s="90"/>
      <c r="CT183" s="92"/>
      <c r="CU183" s="90"/>
      <c r="CV183" s="90"/>
      <c r="CW183" s="90"/>
      <c r="CX183" s="90"/>
      <c r="CY183" s="90"/>
      <c r="CZ183" s="90"/>
      <c r="DA183" s="90"/>
      <c r="DB183" s="90"/>
      <c r="DC183" s="90"/>
      <c r="DD183" s="90"/>
      <c r="DE183" s="90"/>
      <c r="DF183" s="90"/>
      <c r="DG183" s="90"/>
      <c r="DH183" s="90"/>
      <c r="DI183" s="90"/>
      <c r="DJ183" s="90"/>
      <c r="DK183" s="90"/>
      <c r="DL183" s="90"/>
      <c r="DM183" s="90"/>
      <c r="DN183" s="90"/>
      <c r="DO183" s="90"/>
      <c r="DP183" s="90"/>
      <c r="DQ183" s="90"/>
      <c r="DR183" s="90"/>
    </row>
    <row r="184" spans="2:122" ht="8.25">
      <c r="C184" s="1"/>
      <c r="D184" s="1"/>
      <c r="CT184" s="227"/>
    </row>
    <row r="185" spans="2:122" ht="17.25" customHeight="1">
      <c r="B185" s="249" t="s">
        <v>457</v>
      </c>
      <c r="C185" s="250"/>
      <c r="D185" s="251"/>
    </row>
    <row r="186" spans="2:122" ht="8.25">
      <c r="B186" s="221"/>
      <c r="C186" s="222"/>
      <c r="D186" s="223"/>
    </row>
    <row r="187" spans="2:122" ht="18" customHeight="1">
      <c r="B187" s="252" t="s">
        <v>943</v>
      </c>
      <c r="C187" s="250"/>
      <c r="D187" s="251"/>
      <c r="AQ187" s="227">
        <v>10</v>
      </c>
    </row>
    <row r="188" spans="2:122" ht="8.25">
      <c r="B188" s="225"/>
      <c r="C188" s="223"/>
      <c r="D188" s="223"/>
    </row>
    <row r="189" spans="2:122" ht="8.25">
      <c r="B189" s="225"/>
      <c r="C189" s="223"/>
      <c r="D189" s="223"/>
    </row>
    <row r="190" spans="2:122" ht="8.25">
      <c r="B190" s="225"/>
      <c r="C190" s="223"/>
      <c r="D190" s="223"/>
    </row>
    <row r="191" spans="2:122" ht="8.25">
      <c r="B191" s="225"/>
      <c r="C191" s="223"/>
      <c r="D191" s="223"/>
    </row>
    <row r="192" spans="2:122" ht="8.25">
      <c r="B192" s="93" t="s">
        <v>458</v>
      </c>
      <c r="C192" s="94"/>
      <c r="D192" s="94"/>
      <c r="E192" s="95" t="s">
        <v>459</v>
      </c>
      <c r="J192" s="220"/>
      <c r="O192" s="96" t="s">
        <v>459</v>
      </c>
      <c r="P192" s="227" t="s">
        <v>459</v>
      </c>
      <c r="Q192" s="227" t="s">
        <v>459</v>
      </c>
      <c r="T192" s="227" t="s">
        <v>459</v>
      </c>
      <c r="U192" s="227" t="s">
        <v>459</v>
      </c>
      <c r="DD192" s="97" t="s">
        <v>460</v>
      </c>
    </row>
    <row r="193" spans="2:122" ht="8.25" customHeight="1">
      <c r="B193" s="253" t="s">
        <v>461</v>
      </c>
      <c r="C193" s="253"/>
      <c r="D193" s="253"/>
      <c r="E193" s="1" t="s">
        <v>462</v>
      </c>
      <c r="I193" s="242" t="s">
        <v>463</v>
      </c>
      <c r="J193" s="242"/>
      <c r="K193" s="254"/>
      <c r="L193" s="254"/>
      <c r="M193" s="254"/>
      <c r="N193" s="254"/>
      <c r="O193" s="254"/>
      <c r="P193" s="254"/>
      <c r="Q193" s="254"/>
      <c r="R193" s="254"/>
      <c r="S193" s="254"/>
      <c r="T193" s="254"/>
      <c r="U193" s="254"/>
      <c r="V193" s="254"/>
      <c r="W193" s="254"/>
      <c r="X193" s="254"/>
      <c r="Y193" s="254"/>
      <c r="Z193" s="254"/>
      <c r="AA193" s="254"/>
      <c r="AB193" s="254"/>
      <c r="AC193" s="254"/>
      <c r="AD193" s="254"/>
      <c r="AE193" s="254"/>
      <c r="AF193" s="254"/>
      <c r="AG193" s="254"/>
      <c r="AH193" s="254"/>
      <c r="AI193" s="254"/>
      <c r="AJ193" s="254"/>
      <c r="AK193" s="254"/>
      <c r="AL193" s="254"/>
      <c r="AM193" s="254"/>
      <c r="AN193" s="254"/>
      <c r="AO193" s="254"/>
      <c r="AP193" s="254"/>
      <c r="AQ193" s="254"/>
      <c r="AR193" s="254"/>
      <c r="AS193" s="254"/>
      <c r="AT193" s="254"/>
      <c r="AU193" s="254"/>
      <c r="AV193" s="254"/>
      <c r="AW193" s="254"/>
      <c r="AX193" s="254"/>
      <c r="AY193" s="254"/>
      <c r="AZ193" s="254"/>
      <c r="BA193" s="254"/>
      <c r="BB193" s="254"/>
      <c r="BC193" s="254"/>
      <c r="BD193" s="254"/>
      <c r="BE193" s="254"/>
      <c r="BF193" s="254"/>
      <c r="BG193" s="254"/>
      <c r="BH193" s="254"/>
      <c r="BI193" s="254"/>
      <c r="BJ193" s="254"/>
      <c r="BK193" s="254"/>
      <c r="BL193" s="254"/>
      <c r="BM193" s="254"/>
      <c r="BN193" s="254"/>
      <c r="BO193" s="254"/>
      <c r="BP193" s="254"/>
      <c r="BQ193" s="254"/>
      <c r="BR193" s="254"/>
      <c r="BS193" s="254"/>
      <c r="BT193" s="254"/>
      <c r="BU193" s="254"/>
      <c r="BV193" s="254"/>
      <c r="BW193" s="254"/>
      <c r="BX193" s="254"/>
      <c r="BY193" s="254"/>
      <c r="BZ193" s="254"/>
      <c r="CA193" s="254"/>
      <c r="CB193" s="254"/>
      <c r="CC193" s="254"/>
      <c r="CD193" s="254"/>
      <c r="CE193" s="254"/>
      <c r="CF193" s="254"/>
      <c r="CG193" s="254"/>
      <c r="CH193" s="254"/>
      <c r="CI193" s="254"/>
      <c r="CJ193" s="254"/>
      <c r="CK193" s="254"/>
      <c r="CL193" s="254"/>
      <c r="CM193" s="254"/>
      <c r="CN193" s="254"/>
      <c r="CO193" s="254"/>
      <c r="CP193" s="254"/>
      <c r="CQ193" s="254"/>
      <c r="CR193" s="254"/>
      <c r="CS193" s="254"/>
      <c r="CT193" s="254"/>
      <c r="CU193" s="254"/>
      <c r="CV193" s="254"/>
      <c r="CW193" s="254"/>
      <c r="CX193" s="254"/>
      <c r="CY193" s="254"/>
      <c r="CZ193" s="254"/>
      <c r="DA193" s="254"/>
      <c r="DB193" s="254"/>
      <c r="DC193" s="254"/>
      <c r="DD193" s="254"/>
      <c r="DE193" s="254"/>
      <c r="DF193" s="254"/>
      <c r="DG193" s="254"/>
      <c r="DH193" s="254"/>
      <c r="DI193" s="254"/>
      <c r="DJ193" s="254"/>
      <c r="DK193" s="254"/>
      <c r="DL193" s="254"/>
      <c r="DM193" s="254"/>
      <c r="DN193" s="254"/>
      <c r="DO193" s="254"/>
      <c r="DP193" s="254"/>
      <c r="DQ193" s="254"/>
    </row>
    <row r="194" spans="2:122" ht="8.25" customHeight="1">
      <c r="B194" s="240" t="s">
        <v>464</v>
      </c>
      <c r="C194" s="240"/>
      <c r="D194" s="240"/>
      <c r="E194" s="241" t="s">
        <v>465</v>
      </c>
      <c r="F194" s="241"/>
      <c r="G194" s="241"/>
      <c r="H194" s="220"/>
      <c r="I194" s="242" t="s">
        <v>466</v>
      </c>
      <c r="J194" s="242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  <c r="AJ194" s="243"/>
      <c r="AK194" s="243"/>
      <c r="AL194" s="243"/>
      <c r="AM194" s="243"/>
      <c r="AN194" s="243"/>
      <c r="AO194" s="243"/>
      <c r="AP194" s="243"/>
      <c r="AQ194" s="243"/>
      <c r="AR194" s="243"/>
      <c r="AS194" s="243"/>
      <c r="AT194" s="243"/>
      <c r="AU194" s="243"/>
      <c r="AV194" s="243"/>
      <c r="AW194" s="243"/>
      <c r="AX194" s="243"/>
      <c r="AY194" s="243"/>
      <c r="AZ194" s="243"/>
      <c r="BA194" s="243"/>
      <c r="BB194" s="243"/>
      <c r="BC194" s="243"/>
      <c r="BD194" s="243"/>
      <c r="BE194" s="243"/>
      <c r="BF194" s="243"/>
      <c r="BG194" s="243"/>
      <c r="BH194" s="243"/>
      <c r="BI194" s="243"/>
      <c r="BJ194" s="243"/>
      <c r="BK194" s="243"/>
      <c r="BL194" s="243"/>
      <c r="BM194" s="243"/>
      <c r="BN194" s="243"/>
      <c r="BO194" s="243"/>
      <c r="BP194" s="243"/>
      <c r="BQ194" s="243"/>
      <c r="BR194" s="243"/>
      <c r="BS194" s="243"/>
      <c r="BT194" s="243"/>
      <c r="BU194" s="243"/>
      <c r="BV194" s="243"/>
      <c r="BW194" s="243"/>
      <c r="BX194" s="243"/>
      <c r="BY194" s="243"/>
      <c r="BZ194" s="243"/>
      <c r="CA194" s="243"/>
      <c r="CB194" s="243"/>
      <c r="CC194" s="243"/>
      <c r="CD194" s="243"/>
      <c r="CE194" s="243"/>
      <c r="CF194" s="243"/>
      <c r="CG194" s="243"/>
      <c r="CH194" s="243"/>
      <c r="CI194" s="243"/>
      <c r="CJ194" s="243"/>
      <c r="CK194" s="243"/>
      <c r="CL194" s="243"/>
      <c r="CM194" s="243"/>
      <c r="CN194" s="243"/>
      <c r="CO194" s="243"/>
      <c r="CP194" s="243"/>
      <c r="CQ194" s="243"/>
      <c r="CR194" s="243"/>
      <c r="CS194" s="243"/>
      <c r="CT194" s="243"/>
      <c r="CU194" s="243"/>
      <c r="CV194" s="243"/>
      <c r="CW194" s="243"/>
      <c r="CX194" s="243"/>
      <c r="CY194" s="243"/>
      <c r="CZ194" s="243"/>
      <c r="DA194" s="243"/>
      <c r="DB194" s="243"/>
      <c r="DC194" s="243"/>
      <c r="DD194" s="243"/>
      <c r="DE194" s="243"/>
      <c r="DF194" s="243"/>
      <c r="DG194" s="243"/>
      <c r="DH194" s="243"/>
      <c r="DI194" s="243"/>
      <c r="DJ194" s="243"/>
      <c r="DK194" s="243"/>
      <c r="DL194" s="243"/>
      <c r="DM194" s="243"/>
      <c r="DN194" s="243"/>
      <c r="DO194" s="243"/>
      <c r="DP194" s="243"/>
      <c r="DQ194" s="243"/>
    </row>
    <row r="195" spans="2:122" ht="8.25">
      <c r="D195" s="1"/>
      <c r="J195" s="220"/>
      <c r="AG195" s="227" t="s">
        <v>467</v>
      </c>
      <c r="AH195" s="227" t="s">
        <v>467</v>
      </c>
      <c r="AI195" s="227" t="s">
        <v>467</v>
      </c>
      <c r="AK195" s="227" t="s">
        <v>467</v>
      </c>
      <c r="AY195" s="96" t="s">
        <v>459</v>
      </c>
      <c r="BJ195" s="227" t="s">
        <v>468</v>
      </c>
      <c r="BK195" s="227" t="s">
        <v>468</v>
      </c>
      <c r="BN195" s="227" t="s">
        <v>468</v>
      </c>
      <c r="BO195" s="227" t="s">
        <v>469</v>
      </c>
      <c r="CE195" s="227" t="s">
        <v>470</v>
      </c>
    </row>
    <row r="196" spans="2:122" ht="8.25">
      <c r="AG196" s="227" t="s">
        <v>471</v>
      </c>
      <c r="AH196" s="227" t="s">
        <v>471</v>
      </c>
      <c r="AI196" s="227" t="s">
        <v>471</v>
      </c>
      <c r="AK196" s="227" t="s">
        <v>471</v>
      </c>
    </row>
    <row r="197" spans="2:122" ht="8.25">
      <c r="B197" s="98"/>
      <c r="C197" s="56"/>
      <c r="D197" s="56"/>
      <c r="E197" s="99"/>
      <c r="F197" s="56"/>
      <c r="G197" s="100"/>
      <c r="H197" s="10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</row>
    <row r="198" spans="2:122" ht="8.25">
      <c r="C198" s="1"/>
      <c r="D198" s="1"/>
      <c r="CT198" s="227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</row>
    <row r="199" spans="2:122" ht="8.25">
      <c r="C199" s="1"/>
      <c r="D199" s="1"/>
      <c r="CT199" s="227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</row>
    <row r="200" spans="2:122" ht="8.25">
      <c r="DA200" s="227" t="s">
        <v>472</v>
      </c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</row>
    <row r="201" spans="2:122" ht="9">
      <c r="C201" s="56"/>
      <c r="D201" s="1"/>
      <c r="E201" s="235"/>
      <c r="G201" s="1"/>
      <c r="H201" s="56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</row>
    <row r="202" spans="2:122" ht="9">
      <c r="B202" s="98"/>
      <c r="C202" s="56"/>
      <c r="D202" s="1"/>
      <c r="E202" s="235"/>
      <c r="F202" s="236"/>
      <c r="G202" s="236"/>
      <c r="H202" s="56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</row>
    <row r="203" spans="2:122" ht="9">
      <c r="B203" s="98"/>
      <c r="C203" s="56"/>
      <c r="D203" s="1"/>
      <c r="E203" s="235"/>
      <c r="F203" s="236"/>
      <c r="G203" s="236"/>
      <c r="H203" s="56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</row>
    <row r="204" spans="2:122" ht="8.25"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</row>
    <row r="205" spans="2:122" ht="8.25"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</row>
    <row r="206" spans="2:122" ht="8.25"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</row>
    <row r="207" spans="2:122" ht="8.25"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</row>
    <row r="208" spans="2:122" ht="8.25"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</row>
    <row r="209" spans="3:122" ht="8.25"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</row>
    <row r="210" spans="3:122" ht="8.25">
      <c r="C210" s="1"/>
      <c r="D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</row>
    <row r="211" spans="3:122" ht="8.25">
      <c r="C211" s="1"/>
      <c r="D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</row>
    <row r="212" spans="3:122" ht="8.25">
      <c r="C212" s="1"/>
      <c r="D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</row>
    <row r="213" spans="3:122" ht="8.25">
      <c r="C213" s="1"/>
      <c r="D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</row>
    <row r="214" spans="3:122" ht="8.25">
      <c r="C214" s="1"/>
      <c r="D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</row>
    <row r="215" spans="3:122" ht="8.25">
      <c r="C215" s="1"/>
      <c r="D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</row>
    <row r="216" spans="3:122" ht="8.25">
      <c r="C216" s="1"/>
      <c r="D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</row>
    <row r="217" spans="3:122" ht="8.25">
      <c r="C217" s="1"/>
      <c r="D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</row>
    <row r="218" spans="3:122" ht="8.25">
      <c r="C218" s="1"/>
      <c r="D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</row>
    <row r="219" spans="3:122" ht="8.25">
      <c r="C219" s="1"/>
      <c r="D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</row>
    <row r="220" spans="3:122" ht="8.25">
      <c r="C220" s="1"/>
      <c r="D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</row>
    <row r="221" spans="3:122" ht="8.25">
      <c r="C221" s="1"/>
      <c r="D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</row>
    <row r="222" spans="3:122" ht="8.25">
      <c r="C222" s="1"/>
      <c r="D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</row>
    <row r="224" spans="3:122" ht="8.25">
      <c r="C224" s="1"/>
      <c r="D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</row>
  </sheetData>
  <mergeCells count="13">
    <mergeCell ref="B194:D194"/>
    <mergeCell ref="E194:G194"/>
    <mergeCell ref="I194:DQ194"/>
    <mergeCell ref="B2:C2"/>
    <mergeCell ref="B3:DR3"/>
    <mergeCell ref="B185:D185"/>
    <mergeCell ref="B187:D187"/>
    <mergeCell ref="B193:D193"/>
    <mergeCell ref="I193:DQ193"/>
    <mergeCell ref="B172:F172"/>
    <mergeCell ref="B173:C173"/>
    <mergeCell ref="B177:DR177"/>
    <mergeCell ref="B178:DR178"/>
  </mergeCells>
  <printOptions horizontalCentered="1"/>
  <pageMargins left="0.7" right="0.7" top="0.75" bottom="0.5" header="0.3" footer="0.3"/>
  <pageSetup paperSize="5" orientation="landscape" r:id="rId1"/>
  <headerFooter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R248"/>
  <sheetViews>
    <sheetView tabSelected="1" workbookViewId="0">
      <selection activeCell="E23" sqref="E23"/>
    </sheetView>
  </sheetViews>
  <sheetFormatPr baseColWidth="10" defaultRowHeight="10.5" customHeight="1"/>
  <cols>
    <col min="1" max="1" width="1.85546875" style="106" customWidth="1"/>
    <col min="2" max="2" width="8.42578125" style="102" customWidth="1"/>
    <col min="3" max="3" width="25.7109375" style="229" customWidth="1"/>
    <col min="4" max="4" width="38" style="103" customWidth="1"/>
    <col min="5" max="5" width="8.5703125" style="231" customWidth="1"/>
    <col min="6" max="6" width="8" style="231" customWidth="1"/>
    <col min="7" max="7" width="10.140625" style="104" customWidth="1"/>
    <col min="8" max="9" width="9.85546875" style="104" customWidth="1"/>
    <col min="10" max="31" width="11.42578125" style="104" hidden="1" customWidth="1"/>
    <col min="32" max="32" width="11.42578125" style="105" hidden="1" customWidth="1"/>
    <col min="33" max="36" width="11.42578125" style="104" hidden="1" customWidth="1"/>
    <col min="37" max="37" width="9.140625" style="104" customWidth="1"/>
    <col min="38" max="38" width="11.140625" style="104" customWidth="1"/>
    <col min="39" max="122" width="0" style="106" hidden="1" customWidth="1"/>
    <col min="123" max="16384" width="11.42578125" style="106"/>
  </cols>
  <sheetData>
    <row r="1" spans="2:38" ht="10.5" customHeight="1">
      <c r="C1" s="237"/>
      <c r="E1" s="238"/>
      <c r="F1" s="238"/>
    </row>
    <row r="2" spans="2:38" ht="10.5" customHeight="1">
      <c r="C2" s="237"/>
      <c r="E2" s="238"/>
      <c r="F2" s="238"/>
    </row>
    <row r="3" spans="2:38" ht="9"/>
    <row r="4" spans="2:38" ht="13.5" thickBot="1">
      <c r="B4" s="270"/>
      <c r="C4" s="271"/>
      <c r="AC4" s="107"/>
    </row>
    <row r="5" spans="2:38" s="239" customFormat="1" ht="15" customHeight="1">
      <c r="B5" s="274" t="s">
        <v>944</v>
      </c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6"/>
    </row>
    <row r="6" spans="2:38" ht="15" customHeight="1">
      <c r="B6" s="277" t="s">
        <v>0</v>
      </c>
      <c r="C6" s="278" t="s">
        <v>1</v>
      </c>
      <c r="D6" s="110" t="s">
        <v>2</v>
      </c>
      <c r="E6" s="111" t="s">
        <v>3</v>
      </c>
      <c r="F6" s="111" t="s">
        <v>4</v>
      </c>
      <c r="G6" s="112" t="s">
        <v>5</v>
      </c>
      <c r="H6" s="112" t="s">
        <v>6</v>
      </c>
      <c r="I6" s="112" t="s">
        <v>7</v>
      </c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279"/>
      <c r="U6" s="112" t="s">
        <v>8</v>
      </c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4"/>
      <c r="AG6" s="112"/>
      <c r="AH6" s="112"/>
      <c r="AI6" s="112" t="s">
        <v>9</v>
      </c>
      <c r="AJ6" s="112"/>
      <c r="AK6" s="112" t="s">
        <v>9</v>
      </c>
      <c r="AL6" s="115" t="s">
        <v>9</v>
      </c>
    </row>
    <row r="7" spans="2:38" ht="12" customHeight="1">
      <c r="B7" s="108"/>
      <c r="C7" s="109"/>
      <c r="D7" s="110"/>
      <c r="E7" s="111"/>
      <c r="F7" s="111"/>
      <c r="G7" s="112" t="s">
        <v>12</v>
      </c>
      <c r="H7" s="112" t="s">
        <v>13</v>
      </c>
      <c r="I7" s="112" t="s">
        <v>14</v>
      </c>
      <c r="J7" s="112" t="s">
        <v>473</v>
      </c>
      <c r="K7" s="112" t="s">
        <v>474</v>
      </c>
      <c r="L7" s="112" t="s">
        <v>475</v>
      </c>
      <c r="M7" s="112" t="s">
        <v>476</v>
      </c>
      <c r="N7" s="112" t="s">
        <v>477</v>
      </c>
      <c r="O7" s="112" t="s">
        <v>478</v>
      </c>
      <c r="P7" s="112" t="s">
        <v>479</v>
      </c>
      <c r="Q7" s="112">
        <v>1997</v>
      </c>
      <c r="R7" s="112">
        <v>1998</v>
      </c>
      <c r="S7" s="113" t="s">
        <v>15</v>
      </c>
      <c r="T7" s="112">
        <v>2000</v>
      </c>
      <c r="U7" s="112">
        <v>2001</v>
      </c>
      <c r="V7" s="112">
        <v>2002</v>
      </c>
      <c r="W7" s="112">
        <v>2003</v>
      </c>
      <c r="X7" s="112">
        <v>2004</v>
      </c>
      <c r="Y7" s="112">
        <v>2005</v>
      </c>
      <c r="Z7" s="112">
        <v>2006</v>
      </c>
      <c r="AA7" s="112">
        <v>2007</v>
      </c>
      <c r="AB7" s="112">
        <v>2008</v>
      </c>
      <c r="AC7" s="112">
        <v>2009</v>
      </c>
      <c r="AD7" s="112">
        <v>2010</v>
      </c>
      <c r="AE7" s="112">
        <v>2011</v>
      </c>
      <c r="AF7" s="114">
        <v>2012</v>
      </c>
      <c r="AG7" s="112">
        <v>2013</v>
      </c>
      <c r="AH7" s="112">
        <v>2014</v>
      </c>
      <c r="AI7" s="112">
        <v>2015</v>
      </c>
      <c r="AJ7" s="112">
        <v>2016</v>
      </c>
      <c r="AK7" s="112">
        <v>2017</v>
      </c>
      <c r="AL7" s="115" t="s">
        <v>44</v>
      </c>
    </row>
    <row r="8" spans="2:38" ht="9">
      <c r="B8" s="116" t="s">
        <v>441</v>
      </c>
      <c r="C8" s="117"/>
      <c r="D8" s="118"/>
      <c r="E8" s="119"/>
      <c r="F8" s="119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1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2"/>
    </row>
    <row r="9" spans="2:38" s="129" customFormat="1" ht="9">
      <c r="B9" s="123" t="s">
        <v>480</v>
      </c>
      <c r="C9" s="124" t="s">
        <v>481</v>
      </c>
      <c r="D9" s="125" t="s">
        <v>482</v>
      </c>
      <c r="E9" s="126"/>
      <c r="F9" s="126"/>
      <c r="G9" s="127">
        <f>203036.59*1/8.75</f>
        <v>23204.181714285714</v>
      </c>
      <c r="H9" s="127">
        <f t="shared" ref="H9:H16" si="0">(G9*0.1)</f>
        <v>2320.4181714285714</v>
      </c>
      <c r="I9" s="127">
        <f t="shared" ref="I9:I14" si="1">(G9*0.9)</f>
        <v>20883.763542857145</v>
      </c>
      <c r="J9" s="127">
        <v>0</v>
      </c>
      <c r="K9" s="127">
        <v>0</v>
      </c>
      <c r="L9" s="127">
        <v>0</v>
      </c>
      <c r="M9" s="127">
        <v>0</v>
      </c>
      <c r="N9" s="127">
        <v>0</v>
      </c>
      <c r="O9" s="127">
        <v>0</v>
      </c>
      <c r="P9" s="127">
        <v>0</v>
      </c>
      <c r="Q9" s="127">
        <v>29637.78</v>
      </c>
      <c r="R9" s="127">
        <v>36546.589999999997</v>
      </c>
      <c r="S9" s="127">
        <v>36546.589999999997</v>
      </c>
      <c r="T9" s="127">
        <v>36546.61</v>
      </c>
      <c r="U9" s="127">
        <v>4176.75</v>
      </c>
      <c r="V9" s="127">
        <v>789.58</v>
      </c>
      <c r="W9" s="127">
        <v>0</v>
      </c>
      <c r="X9" s="127">
        <v>0</v>
      </c>
      <c r="Y9" s="127">
        <v>0</v>
      </c>
      <c r="Z9" s="127">
        <v>0</v>
      </c>
      <c r="AA9" s="127">
        <v>0</v>
      </c>
      <c r="AB9" s="127">
        <v>0</v>
      </c>
      <c r="AC9" s="127">
        <v>0</v>
      </c>
      <c r="AD9" s="127">
        <v>0</v>
      </c>
      <c r="AE9" s="127">
        <v>0</v>
      </c>
      <c r="AF9" s="128">
        <v>0</v>
      </c>
      <c r="AG9" s="127">
        <v>0</v>
      </c>
      <c r="AH9" s="127"/>
      <c r="AI9" s="127"/>
      <c r="AJ9" s="127"/>
      <c r="AK9" s="127">
        <v>20883.759999999998</v>
      </c>
      <c r="AL9" s="127">
        <f t="shared" ref="AL9:AL21" si="2">SUM(AK9)</f>
        <v>20883.759999999998</v>
      </c>
    </row>
    <row r="10" spans="2:38" s="129" customFormat="1" ht="9">
      <c r="B10" s="130" t="s">
        <v>483</v>
      </c>
      <c r="C10" s="124" t="s">
        <v>484</v>
      </c>
      <c r="D10" s="125"/>
      <c r="E10" s="126"/>
      <c r="F10" s="126"/>
      <c r="G10" s="127">
        <f>5739/8.75</f>
        <v>655.88571428571424</v>
      </c>
      <c r="H10" s="127">
        <f t="shared" si="0"/>
        <v>65.588571428571427</v>
      </c>
      <c r="I10" s="127">
        <f t="shared" si="1"/>
        <v>590.29714285714283</v>
      </c>
      <c r="J10" s="127"/>
      <c r="K10" s="127"/>
      <c r="L10" s="127"/>
      <c r="M10" s="127"/>
      <c r="N10" s="127"/>
      <c r="O10" s="127"/>
      <c r="P10" s="127"/>
      <c r="Q10" s="127"/>
      <c r="R10" s="127"/>
      <c r="S10" s="127">
        <v>399.06</v>
      </c>
      <c r="T10" s="127">
        <v>1033.03</v>
      </c>
      <c r="U10" s="127">
        <v>118.07</v>
      </c>
      <c r="V10" s="127">
        <v>118.07</v>
      </c>
      <c r="W10" s="127">
        <v>118.06</v>
      </c>
      <c r="X10" s="127">
        <v>72.430000000000007</v>
      </c>
      <c r="Y10" s="127">
        <v>0</v>
      </c>
      <c r="Z10" s="127">
        <v>0</v>
      </c>
      <c r="AA10" s="127">
        <v>0</v>
      </c>
      <c r="AB10" s="127">
        <v>0</v>
      </c>
      <c r="AC10" s="127">
        <v>0</v>
      </c>
      <c r="AD10" s="127">
        <v>0</v>
      </c>
      <c r="AE10" s="127">
        <v>0</v>
      </c>
      <c r="AF10" s="128">
        <v>0</v>
      </c>
      <c r="AG10" s="127">
        <v>0</v>
      </c>
      <c r="AH10" s="127"/>
      <c r="AI10" s="127"/>
      <c r="AJ10" s="127"/>
      <c r="AK10" s="127">
        <v>590.29999999999995</v>
      </c>
      <c r="AL10" s="127">
        <f t="shared" si="2"/>
        <v>590.29999999999995</v>
      </c>
    </row>
    <row r="11" spans="2:38" s="129" customFormat="1" ht="9">
      <c r="B11" s="130" t="s">
        <v>483</v>
      </c>
      <c r="C11" s="124" t="s">
        <v>484</v>
      </c>
      <c r="D11" s="125"/>
      <c r="E11" s="126"/>
      <c r="F11" s="126"/>
      <c r="G11" s="127">
        <f>5739/8.75</f>
        <v>655.88571428571424</v>
      </c>
      <c r="H11" s="127">
        <f t="shared" si="0"/>
        <v>65.588571428571427</v>
      </c>
      <c r="I11" s="127">
        <f t="shared" si="1"/>
        <v>590.29714285714283</v>
      </c>
      <c r="J11" s="127"/>
      <c r="K11" s="127"/>
      <c r="L11" s="127"/>
      <c r="M11" s="127"/>
      <c r="N11" s="127"/>
      <c r="O11" s="127"/>
      <c r="P11" s="127"/>
      <c r="Q11" s="127"/>
      <c r="R11" s="127"/>
      <c r="S11" s="127">
        <v>399.06</v>
      </c>
      <c r="T11" s="127">
        <v>1033.03</v>
      </c>
      <c r="U11" s="127">
        <v>118.07</v>
      </c>
      <c r="V11" s="127">
        <v>118.07</v>
      </c>
      <c r="W11" s="127">
        <v>118.06</v>
      </c>
      <c r="X11" s="127">
        <v>72.430000000000007</v>
      </c>
      <c r="Y11" s="127">
        <v>0</v>
      </c>
      <c r="Z11" s="127">
        <v>0</v>
      </c>
      <c r="AA11" s="127">
        <v>0</v>
      </c>
      <c r="AB11" s="127">
        <v>0</v>
      </c>
      <c r="AC11" s="127">
        <v>0</v>
      </c>
      <c r="AD11" s="127">
        <v>0</v>
      </c>
      <c r="AE11" s="127">
        <v>0</v>
      </c>
      <c r="AF11" s="128">
        <v>0</v>
      </c>
      <c r="AG11" s="127">
        <v>0</v>
      </c>
      <c r="AH11" s="127"/>
      <c r="AI11" s="127"/>
      <c r="AJ11" s="127"/>
      <c r="AK11" s="127">
        <v>590.29999999999995</v>
      </c>
      <c r="AL11" s="127">
        <f t="shared" si="2"/>
        <v>590.29999999999995</v>
      </c>
    </row>
    <row r="12" spans="2:38" s="129" customFormat="1" ht="9">
      <c r="B12" s="130" t="s">
        <v>483</v>
      </c>
      <c r="C12" s="124" t="s">
        <v>485</v>
      </c>
      <c r="D12" s="124"/>
      <c r="E12" s="131"/>
      <c r="F12" s="131"/>
      <c r="G12" s="127">
        <f>52536/8.75</f>
        <v>6004.1142857142859</v>
      </c>
      <c r="H12" s="127">
        <f t="shared" si="0"/>
        <v>600.41142857142859</v>
      </c>
      <c r="I12" s="127">
        <f t="shared" si="1"/>
        <v>5403.7028571428573</v>
      </c>
      <c r="J12" s="127">
        <v>0</v>
      </c>
      <c r="K12" s="127">
        <v>0</v>
      </c>
      <c r="L12" s="127">
        <v>0</v>
      </c>
      <c r="M12" s="127">
        <v>0</v>
      </c>
      <c r="N12" s="127">
        <v>0</v>
      </c>
      <c r="O12" s="127">
        <v>0</v>
      </c>
      <c r="P12" s="127">
        <v>0</v>
      </c>
      <c r="Q12" s="127">
        <v>0</v>
      </c>
      <c r="R12" s="127">
        <v>0</v>
      </c>
      <c r="S12" s="127">
        <v>3653.05</v>
      </c>
      <c r="T12" s="127">
        <v>9456.48</v>
      </c>
      <c r="U12" s="127">
        <v>1080.76</v>
      </c>
      <c r="V12" s="127">
        <v>1080.76</v>
      </c>
      <c r="W12" s="127">
        <v>1080.76</v>
      </c>
      <c r="X12" s="127">
        <v>663.19</v>
      </c>
      <c r="Y12" s="127">
        <v>0</v>
      </c>
      <c r="Z12" s="127">
        <v>0</v>
      </c>
      <c r="AA12" s="127">
        <v>0</v>
      </c>
      <c r="AB12" s="127">
        <v>0</v>
      </c>
      <c r="AC12" s="127">
        <v>0</v>
      </c>
      <c r="AD12" s="127">
        <v>0</v>
      </c>
      <c r="AE12" s="127">
        <v>0</v>
      </c>
      <c r="AF12" s="128">
        <v>0</v>
      </c>
      <c r="AG12" s="127">
        <v>0</v>
      </c>
      <c r="AH12" s="127"/>
      <c r="AI12" s="127"/>
      <c r="AJ12" s="127"/>
      <c r="AK12" s="127">
        <v>5403.7</v>
      </c>
      <c r="AL12" s="127">
        <f t="shared" si="2"/>
        <v>5403.7</v>
      </c>
    </row>
    <row r="13" spans="2:38" s="129" customFormat="1" ht="9">
      <c r="B13" s="130" t="s">
        <v>483</v>
      </c>
      <c r="C13" s="124" t="s">
        <v>486</v>
      </c>
      <c r="D13" s="125"/>
      <c r="E13" s="126"/>
      <c r="F13" s="126"/>
      <c r="G13" s="127">
        <f>5349/8.75</f>
        <v>611.31428571428569</v>
      </c>
      <c r="H13" s="127">
        <f t="shared" si="0"/>
        <v>61.131428571428572</v>
      </c>
      <c r="I13" s="127">
        <f t="shared" si="1"/>
        <v>550.18285714285719</v>
      </c>
      <c r="J13" s="127">
        <v>0</v>
      </c>
      <c r="K13" s="127">
        <v>0</v>
      </c>
      <c r="L13" s="127">
        <v>0</v>
      </c>
      <c r="M13" s="127">
        <v>0</v>
      </c>
      <c r="N13" s="127">
        <v>0</v>
      </c>
      <c r="O13" s="127">
        <v>0</v>
      </c>
      <c r="P13" s="127">
        <v>0</v>
      </c>
      <c r="Q13" s="127">
        <v>0</v>
      </c>
      <c r="R13" s="127">
        <v>0</v>
      </c>
      <c r="S13" s="127">
        <v>371.94</v>
      </c>
      <c r="T13" s="127">
        <v>962.82</v>
      </c>
      <c r="U13" s="127">
        <v>110.05</v>
      </c>
      <c r="V13" s="127">
        <v>110.05</v>
      </c>
      <c r="W13" s="127">
        <v>110.05</v>
      </c>
      <c r="X13" s="127">
        <v>67.790000000000006</v>
      </c>
      <c r="Y13" s="127">
        <v>0</v>
      </c>
      <c r="Z13" s="127">
        <v>0</v>
      </c>
      <c r="AA13" s="127">
        <v>0</v>
      </c>
      <c r="AB13" s="127">
        <v>0</v>
      </c>
      <c r="AC13" s="127">
        <v>0</v>
      </c>
      <c r="AD13" s="127">
        <v>0</v>
      </c>
      <c r="AE13" s="127">
        <v>0</v>
      </c>
      <c r="AF13" s="128">
        <v>0</v>
      </c>
      <c r="AG13" s="127">
        <v>0</v>
      </c>
      <c r="AH13" s="127"/>
      <c r="AI13" s="127"/>
      <c r="AJ13" s="127"/>
      <c r="AK13" s="127">
        <v>550.17999999999995</v>
      </c>
      <c r="AL13" s="127">
        <f t="shared" si="2"/>
        <v>550.17999999999995</v>
      </c>
    </row>
    <row r="14" spans="2:38" s="129" customFormat="1" ht="9">
      <c r="B14" s="130" t="s">
        <v>483</v>
      </c>
      <c r="C14" s="124" t="s">
        <v>486</v>
      </c>
      <c r="D14" s="125"/>
      <c r="E14" s="126"/>
      <c r="F14" s="126"/>
      <c r="G14" s="127">
        <f>5349/8.75</f>
        <v>611.31428571428569</v>
      </c>
      <c r="H14" s="127">
        <f t="shared" si="0"/>
        <v>61.131428571428572</v>
      </c>
      <c r="I14" s="127">
        <f t="shared" si="1"/>
        <v>550.18285714285719</v>
      </c>
      <c r="J14" s="127">
        <v>0</v>
      </c>
      <c r="K14" s="127">
        <v>0</v>
      </c>
      <c r="L14" s="127">
        <v>0</v>
      </c>
      <c r="M14" s="127">
        <v>0</v>
      </c>
      <c r="N14" s="127">
        <v>0</v>
      </c>
      <c r="O14" s="127">
        <v>0</v>
      </c>
      <c r="P14" s="127">
        <v>0</v>
      </c>
      <c r="Q14" s="127">
        <v>0</v>
      </c>
      <c r="R14" s="127">
        <v>0</v>
      </c>
      <c r="S14" s="127">
        <v>371.94</v>
      </c>
      <c r="T14" s="127">
        <v>962.82</v>
      </c>
      <c r="U14" s="127">
        <v>110.05</v>
      </c>
      <c r="V14" s="127">
        <v>110.05</v>
      </c>
      <c r="W14" s="127">
        <v>110.05</v>
      </c>
      <c r="X14" s="127">
        <v>67.790000000000006</v>
      </c>
      <c r="Y14" s="127">
        <v>0</v>
      </c>
      <c r="Z14" s="127">
        <v>0</v>
      </c>
      <c r="AA14" s="127">
        <v>0</v>
      </c>
      <c r="AB14" s="127">
        <v>0</v>
      </c>
      <c r="AC14" s="127">
        <v>0</v>
      </c>
      <c r="AD14" s="127">
        <v>0</v>
      </c>
      <c r="AE14" s="127">
        <v>0</v>
      </c>
      <c r="AF14" s="128">
        <v>0</v>
      </c>
      <c r="AG14" s="127">
        <v>0</v>
      </c>
      <c r="AH14" s="127"/>
      <c r="AI14" s="127"/>
      <c r="AJ14" s="127"/>
      <c r="AK14" s="127">
        <v>550.17999999999995</v>
      </c>
      <c r="AL14" s="127">
        <f t="shared" si="2"/>
        <v>550.17999999999995</v>
      </c>
    </row>
    <row r="15" spans="2:38" s="129" customFormat="1" ht="9">
      <c r="B15" s="130" t="s">
        <v>487</v>
      </c>
      <c r="C15" s="124" t="s">
        <v>488</v>
      </c>
      <c r="D15" s="125"/>
      <c r="E15" s="126"/>
      <c r="F15" s="126"/>
      <c r="G15" s="127">
        <f>8949.6/8.75</f>
        <v>1022.8114285714286</v>
      </c>
      <c r="H15" s="127">
        <f t="shared" si="0"/>
        <v>102.28114285714287</v>
      </c>
      <c r="I15" s="127">
        <f>(G15*0.9)+0.98</f>
        <v>921.51028571428571</v>
      </c>
      <c r="J15" s="127">
        <v>0</v>
      </c>
      <c r="K15" s="127">
        <v>0</v>
      </c>
      <c r="L15" s="127">
        <v>0</v>
      </c>
      <c r="M15" s="127">
        <v>0</v>
      </c>
      <c r="N15" s="127">
        <v>0</v>
      </c>
      <c r="O15" s="127">
        <v>0</v>
      </c>
      <c r="P15" s="127">
        <v>0</v>
      </c>
      <c r="Q15" s="127">
        <v>0</v>
      </c>
      <c r="R15" s="127">
        <v>0</v>
      </c>
      <c r="S15" s="127">
        <v>0</v>
      </c>
      <c r="T15" s="127">
        <v>167.25</v>
      </c>
      <c r="U15" s="127">
        <v>184.12</v>
      </c>
      <c r="V15" s="127">
        <v>184.12</v>
      </c>
      <c r="W15" s="127">
        <v>184.12</v>
      </c>
      <c r="X15" s="127">
        <v>184.63</v>
      </c>
      <c r="Y15" s="127">
        <v>165.41</v>
      </c>
      <c r="Z15" s="127">
        <v>0</v>
      </c>
      <c r="AA15" s="127">
        <v>0</v>
      </c>
      <c r="AB15" s="127">
        <v>0</v>
      </c>
      <c r="AC15" s="127">
        <v>0</v>
      </c>
      <c r="AD15" s="127">
        <v>0</v>
      </c>
      <c r="AE15" s="127">
        <v>0</v>
      </c>
      <c r="AF15" s="128">
        <v>0</v>
      </c>
      <c r="AG15" s="127">
        <v>0</v>
      </c>
      <c r="AH15" s="127"/>
      <c r="AI15" s="127"/>
      <c r="AJ15" s="127"/>
      <c r="AK15" s="127">
        <f>920.53+0.98</f>
        <v>921.51</v>
      </c>
      <c r="AL15" s="127">
        <f t="shared" si="2"/>
        <v>921.51</v>
      </c>
    </row>
    <row r="16" spans="2:38" s="129" customFormat="1" ht="9">
      <c r="B16" s="130" t="s">
        <v>489</v>
      </c>
      <c r="C16" s="124" t="s">
        <v>490</v>
      </c>
      <c r="D16" s="125"/>
      <c r="E16" s="126"/>
      <c r="F16" s="126"/>
      <c r="G16" s="127">
        <v>3136.88</v>
      </c>
      <c r="H16" s="127">
        <f t="shared" si="0"/>
        <v>313.68800000000005</v>
      </c>
      <c r="I16" s="127">
        <f>(G16*0.9)</f>
        <v>2823.192</v>
      </c>
      <c r="J16" s="127">
        <v>0</v>
      </c>
      <c r="K16" s="127">
        <v>0</v>
      </c>
      <c r="L16" s="127">
        <v>0</v>
      </c>
      <c r="M16" s="127">
        <v>0</v>
      </c>
      <c r="N16" s="127">
        <v>0</v>
      </c>
      <c r="O16" s="127">
        <v>0</v>
      </c>
      <c r="P16" s="127">
        <v>0</v>
      </c>
      <c r="Q16" s="127">
        <v>0</v>
      </c>
      <c r="R16" s="127">
        <v>0</v>
      </c>
      <c r="S16" s="127">
        <v>0</v>
      </c>
      <c r="T16" s="127">
        <v>0</v>
      </c>
      <c r="U16" s="127">
        <v>0</v>
      </c>
      <c r="V16" s="127">
        <v>44.86</v>
      </c>
      <c r="W16" s="127">
        <v>564.64</v>
      </c>
      <c r="X16" s="127">
        <v>566.22</v>
      </c>
      <c r="Y16" s="127">
        <v>564.66999999999996</v>
      </c>
      <c r="Z16" s="127">
        <v>564.66999999999996</v>
      </c>
      <c r="AA16" s="127">
        <v>518.13</v>
      </c>
      <c r="AB16" s="127">
        <v>0</v>
      </c>
      <c r="AC16" s="127">
        <v>0</v>
      </c>
      <c r="AD16" s="127">
        <v>0</v>
      </c>
      <c r="AE16" s="127">
        <v>0</v>
      </c>
      <c r="AF16" s="128">
        <v>0</v>
      </c>
      <c r="AG16" s="127">
        <v>0</v>
      </c>
      <c r="AH16" s="127"/>
      <c r="AI16" s="127"/>
      <c r="AJ16" s="127"/>
      <c r="AK16" s="127">
        <f>SUM(V16:AA16)</f>
        <v>2823.19</v>
      </c>
      <c r="AL16" s="127">
        <f t="shared" si="2"/>
        <v>2823.19</v>
      </c>
    </row>
    <row r="17" spans="1:38" s="129" customFormat="1" ht="16.5">
      <c r="B17" s="130" t="s">
        <v>491</v>
      </c>
      <c r="C17" s="124" t="s">
        <v>492</v>
      </c>
      <c r="D17" s="125" t="s">
        <v>493</v>
      </c>
      <c r="E17" s="126"/>
      <c r="F17" s="126"/>
      <c r="G17" s="127">
        <v>11630</v>
      </c>
      <c r="H17" s="127">
        <f>(G17*0.1)</f>
        <v>1163</v>
      </c>
      <c r="I17" s="127">
        <f>(G17*0.9)</f>
        <v>10467</v>
      </c>
      <c r="J17" s="127">
        <v>0</v>
      </c>
      <c r="K17" s="127">
        <v>0</v>
      </c>
      <c r="L17" s="127">
        <v>0</v>
      </c>
      <c r="M17" s="127">
        <v>0</v>
      </c>
      <c r="N17" s="127">
        <v>0</v>
      </c>
      <c r="O17" s="127">
        <v>0</v>
      </c>
      <c r="P17" s="127">
        <v>0</v>
      </c>
      <c r="Q17" s="127">
        <v>0</v>
      </c>
      <c r="R17" s="127">
        <v>0</v>
      </c>
      <c r="S17" s="127">
        <v>0</v>
      </c>
      <c r="T17" s="127">
        <v>0</v>
      </c>
      <c r="U17" s="127">
        <v>0</v>
      </c>
      <c r="V17" s="127">
        <v>0</v>
      </c>
      <c r="W17" s="127">
        <v>0</v>
      </c>
      <c r="X17" s="127">
        <v>103.24</v>
      </c>
      <c r="Y17" s="127">
        <v>2093.44</v>
      </c>
      <c r="Z17" s="127">
        <v>2093.4299999999998</v>
      </c>
      <c r="AA17" s="127">
        <v>2093.4299999999998</v>
      </c>
      <c r="AB17" s="127">
        <v>2099.16</v>
      </c>
      <c r="AC17" s="127">
        <v>1984.3</v>
      </c>
      <c r="AD17" s="127">
        <v>0</v>
      </c>
      <c r="AE17" s="127">
        <v>0</v>
      </c>
      <c r="AF17" s="128">
        <v>0</v>
      </c>
      <c r="AG17" s="127">
        <v>0</v>
      </c>
      <c r="AH17" s="127"/>
      <c r="AI17" s="127"/>
      <c r="AJ17" s="127"/>
      <c r="AK17" s="127">
        <f>SUM(X17:AD17)</f>
        <v>10466.999999999998</v>
      </c>
      <c r="AL17" s="127">
        <f t="shared" si="2"/>
        <v>10466.999999999998</v>
      </c>
    </row>
    <row r="18" spans="1:38" s="129" customFormat="1" ht="9">
      <c r="B18" s="132" t="s">
        <v>494</v>
      </c>
      <c r="C18" s="133" t="s">
        <v>495</v>
      </c>
      <c r="D18" s="134"/>
      <c r="E18" s="135"/>
      <c r="F18" s="135"/>
      <c r="G18" s="136">
        <v>34550</v>
      </c>
      <c r="H18" s="136">
        <f>(G18*0.1)</f>
        <v>3455</v>
      </c>
      <c r="I18" s="136">
        <f>(G18*0.9)</f>
        <v>31095</v>
      </c>
      <c r="J18" s="136">
        <v>0</v>
      </c>
      <c r="K18" s="137">
        <v>0</v>
      </c>
      <c r="L18" s="137">
        <v>0</v>
      </c>
      <c r="M18" s="137">
        <v>0</v>
      </c>
      <c r="N18" s="136">
        <v>0</v>
      </c>
      <c r="O18" s="136">
        <v>0</v>
      </c>
      <c r="P18" s="136">
        <v>0</v>
      </c>
      <c r="Q18" s="136">
        <v>0</v>
      </c>
      <c r="R18" s="136">
        <v>0</v>
      </c>
      <c r="S18" s="137">
        <v>0</v>
      </c>
      <c r="T18" s="137">
        <v>0</v>
      </c>
      <c r="U18" s="137">
        <v>0</v>
      </c>
      <c r="V18" s="136">
        <v>0</v>
      </c>
      <c r="W18" s="136">
        <v>0</v>
      </c>
      <c r="X18" s="136">
        <v>0</v>
      </c>
      <c r="Y18" s="136">
        <v>5179.66</v>
      </c>
      <c r="Z18" s="136">
        <v>6219</v>
      </c>
      <c r="AA18" s="136">
        <v>6219</v>
      </c>
      <c r="AB18" s="136">
        <v>6236.04</v>
      </c>
      <c r="AC18" s="136">
        <v>6219</v>
      </c>
      <c r="AD18" s="136">
        <v>1022.3</v>
      </c>
      <c r="AE18" s="136">
        <v>0</v>
      </c>
      <c r="AF18" s="128">
        <v>0</v>
      </c>
      <c r="AG18" s="127">
        <v>0</v>
      </c>
      <c r="AH18" s="127"/>
      <c r="AI18" s="127"/>
      <c r="AJ18" s="127"/>
      <c r="AK18" s="136">
        <f>SUM(Y18:AD18)</f>
        <v>31095</v>
      </c>
      <c r="AL18" s="127">
        <f t="shared" si="2"/>
        <v>31095</v>
      </c>
    </row>
    <row r="19" spans="1:38" s="129" customFormat="1" ht="9">
      <c r="B19" s="138" t="s">
        <v>496</v>
      </c>
      <c r="C19" s="124" t="s">
        <v>497</v>
      </c>
      <c r="D19" s="125" t="s">
        <v>498</v>
      </c>
      <c r="E19" s="126"/>
      <c r="F19" s="126"/>
      <c r="G19" s="127">
        <v>13156.79</v>
      </c>
      <c r="H19" s="127">
        <f t="shared" ref="H19:H21" si="3">(G19*0.1)</f>
        <v>1315.6790000000001</v>
      </c>
      <c r="I19" s="128">
        <f t="shared" ref="I19:I21" si="4">(G19*0.9)</f>
        <v>11841.111000000001</v>
      </c>
      <c r="J19" s="136"/>
      <c r="K19" s="137"/>
      <c r="L19" s="137"/>
      <c r="M19" s="137"/>
      <c r="N19" s="136"/>
      <c r="O19" s="136"/>
      <c r="P19" s="136"/>
      <c r="Q19" s="136"/>
      <c r="R19" s="136"/>
      <c r="S19" s="137"/>
      <c r="T19" s="137"/>
      <c r="U19" s="137"/>
      <c r="V19" s="136"/>
      <c r="W19" s="136"/>
      <c r="X19" s="136"/>
      <c r="Y19" s="136"/>
      <c r="Z19" s="136"/>
      <c r="AA19" s="136"/>
      <c r="AB19" s="136"/>
      <c r="AC19" s="127">
        <v>635.86</v>
      </c>
      <c r="AD19" s="127">
        <v>2368.25</v>
      </c>
      <c r="AE19" s="127">
        <v>2368.25</v>
      </c>
      <c r="AF19" s="128">
        <v>2374.7399999999998</v>
      </c>
      <c r="AG19" s="127">
        <v>2368.25</v>
      </c>
      <c r="AH19" s="127">
        <v>1725.76</v>
      </c>
      <c r="AI19" s="127"/>
      <c r="AJ19" s="127"/>
      <c r="AK19" s="136">
        <f>SUM(AC19:AH19)</f>
        <v>11841.11</v>
      </c>
      <c r="AL19" s="127">
        <f t="shared" si="2"/>
        <v>11841.11</v>
      </c>
    </row>
    <row r="20" spans="1:38" s="129" customFormat="1" ht="9">
      <c r="B20" s="138" t="s">
        <v>496</v>
      </c>
      <c r="C20" s="124" t="s">
        <v>499</v>
      </c>
      <c r="D20" s="125" t="s">
        <v>500</v>
      </c>
      <c r="E20" s="126"/>
      <c r="F20" s="126"/>
      <c r="G20" s="127">
        <v>3101.85</v>
      </c>
      <c r="H20" s="127">
        <f t="shared" si="3"/>
        <v>310.185</v>
      </c>
      <c r="I20" s="128">
        <f t="shared" si="4"/>
        <v>2791.665</v>
      </c>
      <c r="J20" s="136"/>
      <c r="K20" s="137"/>
      <c r="L20" s="137"/>
      <c r="M20" s="137"/>
      <c r="N20" s="136"/>
      <c r="O20" s="136"/>
      <c r="P20" s="136"/>
      <c r="Q20" s="136"/>
      <c r="R20" s="136"/>
      <c r="S20" s="137"/>
      <c r="T20" s="137"/>
      <c r="U20" s="137"/>
      <c r="V20" s="136"/>
      <c r="W20" s="136"/>
      <c r="X20" s="136"/>
      <c r="Y20" s="136"/>
      <c r="Z20" s="136"/>
      <c r="AA20" s="136"/>
      <c r="AB20" s="136"/>
      <c r="AC20" s="127">
        <v>149.91</v>
      </c>
      <c r="AD20" s="127">
        <v>558.33000000000004</v>
      </c>
      <c r="AE20" s="127">
        <v>558.33000000000004</v>
      </c>
      <c r="AF20" s="128">
        <v>559.86</v>
      </c>
      <c r="AG20" s="128">
        <v>558.33000000000004</v>
      </c>
      <c r="AH20" s="127">
        <v>406.9</v>
      </c>
      <c r="AI20" s="127"/>
      <c r="AJ20" s="127"/>
      <c r="AK20" s="136">
        <f>SUM(AC20:AH20)</f>
        <v>2791.6600000000003</v>
      </c>
      <c r="AL20" s="127">
        <f t="shared" si="2"/>
        <v>2791.6600000000003</v>
      </c>
    </row>
    <row r="21" spans="1:38" s="129" customFormat="1" ht="9">
      <c r="B21" s="138" t="s">
        <v>496</v>
      </c>
      <c r="C21" s="124" t="s">
        <v>501</v>
      </c>
      <c r="D21" s="125" t="s">
        <v>502</v>
      </c>
      <c r="E21" s="126"/>
      <c r="F21" s="126"/>
      <c r="G21" s="127">
        <v>3911.83</v>
      </c>
      <c r="H21" s="127">
        <f t="shared" si="3"/>
        <v>391.18299999999999</v>
      </c>
      <c r="I21" s="128">
        <f t="shared" si="4"/>
        <v>3520.6469999999999</v>
      </c>
      <c r="J21" s="136"/>
      <c r="K21" s="137"/>
      <c r="L21" s="137"/>
      <c r="M21" s="137"/>
      <c r="N21" s="136"/>
      <c r="O21" s="136"/>
      <c r="P21" s="136"/>
      <c r="Q21" s="136"/>
      <c r="R21" s="136"/>
      <c r="S21" s="137"/>
      <c r="T21" s="137"/>
      <c r="U21" s="137"/>
      <c r="V21" s="136"/>
      <c r="W21" s="136"/>
      <c r="X21" s="136"/>
      <c r="Y21" s="136"/>
      <c r="Z21" s="136"/>
      <c r="AA21" s="136"/>
      <c r="AB21" s="136"/>
      <c r="AC21" s="127">
        <v>189.04</v>
      </c>
      <c r="AD21" s="127">
        <v>704.1</v>
      </c>
      <c r="AE21" s="127">
        <v>704.1</v>
      </c>
      <c r="AF21" s="128">
        <v>706.02</v>
      </c>
      <c r="AG21" s="127">
        <v>704.1</v>
      </c>
      <c r="AH21" s="127">
        <v>513.29</v>
      </c>
      <c r="AI21" s="127"/>
      <c r="AJ21" s="127"/>
      <c r="AK21" s="136">
        <f>SUM(AC21:AH21)</f>
        <v>3520.65</v>
      </c>
      <c r="AL21" s="127">
        <f t="shared" si="2"/>
        <v>3520.65</v>
      </c>
    </row>
    <row r="22" spans="1:38" s="129" customFormat="1" ht="16.5">
      <c r="B22" s="138" t="s">
        <v>503</v>
      </c>
      <c r="C22" s="124" t="s">
        <v>504</v>
      </c>
      <c r="D22" s="125" t="s">
        <v>505</v>
      </c>
      <c r="E22" s="126"/>
      <c r="F22" s="126"/>
      <c r="G22" s="127">
        <v>3150</v>
      </c>
      <c r="H22" s="127">
        <f>(G22*0.1)</f>
        <v>315</v>
      </c>
      <c r="I22" s="128">
        <f>(G22*0.9)</f>
        <v>2835</v>
      </c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39"/>
      <c r="V22" s="139"/>
      <c r="W22" s="127"/>
      <c r="X22" s="127"/>
      <c r="Y22" s="127"/>
      <c r="Z22" s="127"/>
      <c r="AA22" s="127"/>
      <c r="AB22" s="127"/>
      <c r="AC22" s="127"/>
      <c r="AD22" s="127">
        <v>560.79999999999995</v>
      </c>
      <c r="AE22" s="127">
        <v>567.02</v>
      </c>
      <c r="AF22" s="128">
        <v>568.57000000000005</v>
      </c>
      <c r="AG22" s="127">
        <v>567.02</v>
      </c>
      <c r="AH22" s="127">
        <v>567.02</v>
      </c>
      <c r="AI22" s="127"/>
      <c r="AJ22" s="127"/>
      <c r="AK22" s="136">
        <v>2835</v>
      </c>
      <c r="AL22" s="127">
        <v>2835</v>
      </c>
    </row>
    <row r="23" spans="1:38" s="129" customFormat="1" ht="41.25">
      <c r="B23" s="138" t="s">
        <v>75</v>
      </c>
      <c r="C23" s="124" t="s">
        <v>506</v>
      </c>
      <c r="D23" s="125" t="s">
        <v>507</v>
      </c>
      <c r="E23" s="126"/>
      <c r="F23" s="126"/>
      <c r="G23" s="127">
        <v>16575</v>
      </c>
      <c r="H23" s="127">
        <f>(G23*0.1)</f>
        <v>1657.5</v>
      </c>
      <c r="I23" s="128">
        <f>(G23*0.9)</f>
        <v>14917.5</v>
      </c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39"/>
      <c r="V23" s="139"/>
      <c r="W23" s="127"/>
      <c r="X23" s="127"/>
      <c r="Y23" s="127"/>
      <c r="Z23" s="127"/>
      <c r="AA23" s="127"/>
      <c r="AB23" s="127"/>
      <c r="AC23" s="127"/>
      <c r="AD23" s="127"/>
      <c r="AE23" s="127"/>
      <c r="AF23" s="128"/>
      <c r="AG23" s="127"/>
      <c r="AH23" s="127"/>
      <c r="AI23" s="128" t="e">
        <f>SUM('[1]ENERO-16'!#REF!)</f>
        <v>#REF!</v>
      </c>
      <c r="AJ23" s="128"/>
      <c r="AK23" s="127">
        <v>14917.5</v>
      </c>
      <c r="AL23" s="127">
        <v>14917.5</v>
      </c>
    </row>
    <row r="24" spans="1:38" s="129" customFormat="1" ht="16.5">
      <c r="B24" s="138" t="s">
        <v>508</v>
      </c>
      <c r="C24" s="124" t="s">
        <v>509</v>
      </c>
      <c r="D24" s="125" t="s">
        <v>510</v>
      </c>
      <c r="E24" s="126"/>
      <c r="F24" s="126"/>
      <c r="G24" s="127">
        <v>23989.9</v>
      </c>
      <c r="H24" s="127">
        <f>(G24*0.1)</f>
        <v>2398.9900000000002</v>
      </c>
      <c r="I24" s="128">
        <f>(G24*0.9)</f>
        <v>21590.910000000003</v>
      </c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39"/>
      <c r="V24" s="139"/>
      <c r="W24" s="127"/>
      <c r="X24" s="127"/>
      <c r="Y24" s="127"/>
      <c r="Z24" s="127"/>
      <c r="AA24" s="127"/>
      <c r="AB24" s="127"/>
      <c r="AC24" s="127"/>
      <c r="AD24" s="127"/>
      <c r="AE24" s="127"/>
      <c r="AF24" s="128"/>
      <c r="AG24" s="127"/>
      <c r="AH24" s="127"/>
      <c r="AI24" s="128" t="e">
        <f>SUM('[1]ENERO-16'!#REF!)</f>
        <v>#REF!</v>
      </c>
      <c r="AJ24" s="128"/>
      <c r="AK24" s="127">
        <v>21590.91</v>
      </c>
      <c r="AL24" s="127">
        <v>21590.91</v>
      </c>
    </row>
    <row r="25" spans="1:38" s="129" customFormat="1" ht="9">
      <c r="A25" s="140"/>
      <c r="B25" s="141" t="s">
        <v>511</v>
      </c>
      <c r="C25" s="142"/>
      <c r="D25" s="143"/>
      <c r="E25" s="144"/>
      <c r="F25" s="144"/>
      <c r="G25" s="145">
        <f>SUM(G9:G24)</f>
        <v>145967.75742857147</v>
      </c>
      <c r="H25" s="145">
        <f>SUM(H9:H24)</f>
        <v>14596.77574285714</v>
      </c>
      <c r="I25" s="145">
        <f>SUM(I9:I24)</f>
        <v>131371.96168571428</v>
      </c>
      <c r="J25" s="145">
        <f t="shared" ref="J25:AC25" si="5">SUM(J9:J18)</f>
        <v>0</v>
      </c>
      <c r="K25" s="145">
        <f t="shared" si="5"/>
        <v>0</v>
      </c>
      <c r="L25" s="145">
        <f t="shared" si="5"/>
        <v>0</v>
      </c>
      <c r="M25" s="145">
        <f t="shared" si="5"/>
        <v>0</v>
      </c>
      <c r="N25" s="145">
        <f t="shared" si="5"/>
        <v>0</v>
      </c>
      <c r="O25" s="145">
        <f t="shared" si="5"/>
        <v>0</v>
      </c>
      <c r="P25" s="145">
        <f t="shared" si="5"/>
        <v>0</v>
      </c>
      <c r="Q25" s="145">
        <f t="shared" si="5"/>
        <v>29637.78</v>
      </c>
      <c r="R25" s="145">
        <f t="shared" si="5"/>
        <v>36546.589999999997</v>
      </c>
      <c r="S25" s="145">
        <f t="shared" si="5"/>
        <v>41741.64</v>
      </c>
      <c r="T25" s="145">
        <f t="shared" si="5"/>
        <v>50162.039999999994</v>
      </c>
      <c r="U25" s="145">
        <f t="shared" si="5"/>
        <v>5897.87</v>
      </c>
      <c r="V25" s="145">
        <f t="shared" si="5"/>
        <v>2555.5600000000004</v>
      </c>
      <c r="W25" s="145">
        <f t="shared" si="5"/>
        <v>2285.7399999999998</v>
      </c>
      <c r="X25" s="145">
        <f t="shared" si="5"/>
        <v>1797.72</v>
      </c>
      <c r="Y25" s="145">
        <f t="shared" si="5"/>
        <v>8003.18</v>
      </c>
      <c r="Z25" s="145">
        <f t="shared" si="5"/>
        <v>8877.1</v>
      </c>
      <c r="AA25" s="145">
        <f t="shared" si="5"/>
        <v>8830.56</v>
      </c>
      <c r="AB25" s="145">
        <f t="shared" si="5"/>
        <v>8335.2000000000007</v>
      </c>
      <c r="AC25" s="145">
        <f t="shared" si="5"/>
        <v>8203.2999999999993</v>
      </c>
      <c r="AD25" s="145">
        <f>SUM(AD17:AD18)</f>
        <v>1022.3</v>
      </c>
      <c r="AE25" s="145">
        <f>SUM(AE17:AE18)</f>
        <v>0</v>
      </c>
      <c r="AF25" s="145">
        <f>SUM(AF17:AF18)</f>
        <v>0</v>
      </c>
      <c r="AG25" s="145">
        <f>SUM(AG17:AG18)</f>
        <v>0</v>
      </c>
      <c r="AH25" s="145"/>
      <c r="AI25" s="145"/>
      <c r="AJ25" s="145"/>
      <c r="AK25" s="145">
        <f>SUM(AK9:AK24)</f>
        <v>131371.94999999998</v>
      </c>
      <c r="AL25" s="145">
        <f>SUM(AL9:AL24)</f>
        <v>131371.94999999998</v>
      </c>
    </row>
    <row r="26" spans="1:38" s="129" customFormat="1" ht="9">
      <c r="B26" s="146" t="s">
        <v>512</v>
      </c>
      <c r="C26" s="142"/>
      <c r="D26" s="147"/>
      <c r="E26" s="148"/>
      <c r="F26" s="148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</row>
    <row r="27" spans="1:38" s="129" customFormat="1" ht="9">
      <c r="B27" s="123" t="s">
        <v>513</v>
      </c>
      <c r="C27" s="124" t="s">
        <v>514</v>
      </c>
      <c r="D27" s="124" t="s">
        <v>515</v>
      </c>
      <c r="E27" s="131" t="s">
        <v>98</v>
      </c>
      <c r="F27" s="131" t="s">
        <v>516</v>
      </c>
      <c r="G27" s="127">
        <f>10000*1/8.75</f>
        <v>1142.8571428571429</v>
      </c>
      <c r="H27" s="127">
        <f t="shared" ref="H27:H37" si="6">(G27*0.1)</f>
        <v>114.28571428571429</v>
      </c>
      <c r="I27" s="127">
        <f t="shared" ref="I27:I32" si="7">(G27*0.9)</f>
        <v>1028.5714285714287</v>
      </c>
      <c r="J27" s="127">
        <v>0</v>
      </c>
      <c r="K27" s="127">
        <v>0</v>
      </c>
      <c r="L27" s="127">
        <v>0</v>
      </c>
      <c r="M27" s="127">
        <v>0</v>
      </c>
      <c r="N27" s="127">
        <v>0</v>
      </c>
      <c r="O27" s="127">
        <v>0</v>
      </c>
      <c r="P27" s="127">
        <f>(I27/5/365*120)</f>
        <v>67.632093933463793</v>
      </c>
      <c r="Q27" s="127">
        <v>1800</v>
      </c>
      <c r="R27" s="127">
        <v>1800</v>
      </c>
      <c r="S27" s="127">
        <v>1800</v>
      </c>
      <c r="T27" s="127">
        <v>1800</v>
      </c>
      <c r="U27" s="127">
        <v>198</v>
      </c>
      <c r="V27" s="127">
        <v>0</v>
      </c>
      <c r="W27" s="127">
        <v>0</v>
      </c>
      <c r="X27" s="127">
        <v>0</v>
      </c>
      <c r="Y27" s="127">
        <v>0</v>
      </c>
      <c r="Z27" s="127">
        <v>0</v>
      </c>
      <c r="AA27" s="127">
        <v>0</v>
      </c>
      <c r="AB27" s="127">
        <v>0</v>
      </c>
      <c r="AC27" s="127">
        <v>0</v>
      </c>
      <c r="AD27" s="127">
        <v>0</v>
      </c>
      <c r="AE27" s="127">
        <v>0</v>
      </c>
      <c r="AF27" s="128">
        <v>0</v>
      </c>
      <c r="AG27" s="127">
        <v>0</v>
      </c>
      <c r="AH27" s="127"/>
      <c r="AI27" s="127"/>
      <c r="AJ27" s="127"/>
      <c r="AK27" s="127">
        <v>1028.57</v>
      </c>
      <c r="AL27" s="127">
        <f t="shared" ref="AL27:AL34" si="8">SUM(AK27)</f>
        <v>1028.57</v>
      </c>
    </row>
    <row r="28" spans="1:38" s="129" customFormat="1" ht="9">
      <c r="B28" s="123" t="s">
        <v>513</v>
      </c>
      <c r="C28" s="124" t="s">
        <v>517</v>
      </c>
      <c r="D28" s="124" t="s">
        <v>518</v>
      </c>
      <c r="E28" s="131" t="s">
        <v>519</v>
      </c>
      <c r="F28" s="131" t="s">
        <v>520</v>
      </c>
      <c r="G28" s="127">
        <f>10000*1/8.75</f>
        <v>1142.8571428571429</v>
      </c>
      <c r="H28" s="127">
        <f t="shared" si="6"/>
        <v>114.28571428571429</v>
      </c>
      <c r="I28" s="127">
        <f t="shared" si="7"/>
        <v>1028.5714285714287</v>
      </c>
      <c r="J28" s="127">
        <v>0</v>
      </c>
      <c r="K28" s="127">
        <v>0</v>
      </c>
      <c r="L28" s="127">
        <v>0</v>
      </c>
      <c r="M28" s="127">
        <v>0</v>
      </c>
      <c r="N28" s="127">
        <v>0</v>
      </c>
      <c r="O28" s="127">
        <v>0</v>
      </c>
      <c r="P28" s="127">
        <f>(I28/5/365*120)</f>
        <v>67.632093933463793</v>
      </c>
      <c r="Q28" s="127">
        <v>1800</v>
      </c>
      <c r="R28" s="127">
        <v>1800</v>
      </c>
      <c r="S28" s="127">
        <v>1800</v>
      </c>
      <c r="T28" s="127">
        <v>1800</v>
      </c>
      <c r="U28" s="127">
        <v>198</v>
      </c>
      <c r="V28" s="127">
        <v>0</v>
      </c>
      <c r="W28" s="127">
        <v>0</v>
      </c>
      <c r="X28" s="127">
        <v>0</v>
      </c>
      <c r="Y28" s="127">
        <v>0</v>
      </c>
      <c r="Z28" s="127">
        <v>0</v>
      </c>
      <c r="AA28" s="127">
        <v>0</v>
      </c>
      <c r="AB28" s="127">
        <v>0</v>
      </c>
      <c r="AC28" s="127">
        <v>0</v>
      </c>
      <c r="AD28" s="127">
        <v>0</v>
      </c>
      <c r="AE28" s="127">
        <v>0</v>
      </c>
      <c r="AF28" s="128">
        <v>0</v>
      </c>
      <c r="AG28" s="127">
        <v>0</v>
      </c>
      <c r="AH28" s="127"/>
      <c r="AI28" s="127"/>
      <c r="AJ28" s="127"/>
      <c r="AK28" s="127">
        <v>1028.57</v>
      </c>
      <c r="AL28" s="127">
        <f t="shared" si="8"/>
        <v>1028.57</v>
      </c>
    </row>
    <row r="29" spans="1:38" s="129" customFormat="1" ht="9">
      <c r="B29" s="123" t="s">
        <v>521</v>
      </c>
      <c r="C29" s="124" t="s">
        <v>522</v>
      </c>
      <c r="D29" s="125" t="s">
        <v>523</v>
      </c>
      <c r="E29" s="126" t="s">
        <v>94</v>
      </c>
      <c r="F29" s="126" t="s">
        <v>524</v>
      </c>
      <c r="G29" s="127">
        <f>5500*1/8.75</f>
        <v>628.57142857142856</v>
      </c>
      <c r="H29" s="127">
        <f t="shared" si="6"/>
        <v>62.857142857142861</v>
      </c>
      <c r="I29" s="127">
        <f t="shared" si="7"/>
        <v>565.71428571428567</v>
      </c>
      <c r="J29" s="127">
        <v>0</v>
      </c>
      <c r="K29" s="127">
        <v>0</v>
      </c>
      <c r="L29" s="127">
        <v>0</v>
      </c>
      <c r="M29" s="127">
        <v>0</v>
      </c>
      <c r="N29" s="127">
        <v>0</v>
      </c>
      <c r="O29" s="127">
        <v>0</v>
      </c>
      <c r="P29" s="127">
        <v>762.13</v>
      </c>
      <c r="Q29" s="127">
        <v>990</v>
      </c>
      <c r="R29" s="127">
        <v>990</v>
      </c>
      <c r="S29" s="127">
        <v>990</v>
      </c>
      <c r="T29" s="127">
        <v>989.99</v>
      </c>
      <c r="U29" s="127">
        <v>26.04</v>
      </c>
      <c r="V29" s="127">
        <v>0</v>
      </c>
      <c r="W29" s="127">
        <v>0</v>
      </c>
      <c r="X29" s="127">
        <v>0</v>
      </c>
      <c r="Y29" s="127">
        <v>0</v>
      </c>
      <c r="Z29" s="127">
        <v>0</v>
      </c>
      <c r="AA29" s="127">
        <v>0</v>
      </c>
      <c r="AB29" s="127">
        <v>0</v>
      </c>
      <c r="AC29" s="127">
        <v>0</v>
      </c>
      <c r="AD29" s="127">
        <v>0</v>
      </c>
      <c r="AE29" s="127">
        <v>0</v>
      </c>
      <c r="AF29" s="128">
        <v>0</v>
      </c>
      <c r="AG29" s="127">
        <v>0</v>
      </c>
      <c r="AH29" s="127"/>
      <c r="AI29" s="127"/>
      <c r="AJ29" s="127"/>
      <c r="AK29" s="127">
        <v>565.71</v>
      </c>
      <c r="AL29" s="127">
        <f t="shared" si="8"/>
        <v>565.71</v>
      </c>
    </row>
    <row r="30" spans="1:38" s="129" customFormat="1" ht="16.5">
      <c r="B30" s="123" t="s">
        <v>525</v>
      </c>
      <c r="C30" s="124" t="s">
        <v>526</v>
      </c>
      <c r="D30" s="124" t="s">
        <v>527</v>
      </c>
      <c r="E30" s="131" t="s">
        <v>112</v>
      </c>
      <c r="F30" s="131" t="s">
        <v>528</v>
      </c>
      <c r="G30" s="127">
        <f>10000*1/8.75</f>
        <v>1142.8571428571429</v>
      </c>
      <c r="H30" s="127">
        <f t="shared" si="6"/>
        <v>114.28571428571429</v>
      </c>
      <c r="I30" s="127">
        <f t="shared" si="7"/>
        <v>1028.5714285714287</v>
      </c>
      <c r="J30" s="127">
        <v>0</v>
      </c>
      <c r="K30" s="127">
        <v>0</v>
      </c>
      <c r="L30" s="127">
        <v>0</v>
      </c>
      <c r="M30" s="127">
        <v>0</v>
      </c>
      <c r="N30" s="127">
        <v>0</v>
      </c>
      <c r="O30" s="127">
        <v>0</v>
      </c>
      <c r="P30" s="127">
        <f>(I30/5/365*361)</f>
        <v>203.45988258317024</v>
      </c>
      <c r="Q30" s="127">
        <v>1800</v>
      </c>
      <c r="R30" s="127">
        <v>1800</v>
      </c>
      <c r="S30" s="127">
        <v>1800</v>
      </c>
      <c r="T30" s="127">
        <v>1800</v>
      </c>
      <c r="U30" s="127">
        <v>182.46</v>
      </c>
      <c r="V30" s="127">
        <v>0</v>
      </c>
      <c r="W30" s="127">
        <v>0</v>
      </c>
      <c r="X30" s="127">
        <v>0</v>
      </c>
      <c r="Y30" s="127">
        <v>0</v>
      </c>
      <c r="Z30" s="127">
        <v>0</v>
      </c>
      <c r="AA30" s="127">
        <v>0</v>
      </c>
      <c r="AB30" s="127">
        <v>0</v>
      </c>
      <c r="AC30" s="127">
        <v>0</v>
      </c>
      <c r="AD30" s="127">
        <v>0</v>
      </c>
      <c r="AE30" s="127">
        <v>0</v>
      </c>
      <c r="AF30" s="128">
        <v>0</v>
      </c>
      <c r="AG30" s="127">
        <v>0</v>
      </c>
      <c r="AH30" s="127"/>
      <c r="AI30" s="127"/>
      <c r="AJ30" s="127"/>
      <c r="AK30" s="127">
        <v>1028.57</v>
      </c>
      <c r="AL30" s="127">
        <f t="shared" si="8"/>
        <v>1028.57</v>
      </c>
    </row>
    <row r="31" spans="1:38" s="129" customFormat="1" ht="9">
      <c r="B31" s="123" t="s">
        <v>529</v>
      </c>
      <c r="C31" s="124" t="s">
        <v>530</v>
      </c>
      <c r="D31" s="125" t="s">
        <v>531</v>
      </c>
      <c r="E31" s="126" t="s">
        <v>231</v>
      </c>
      <c r="F31" s="126" t="s">
        <v>532</v>
      </c>
      <c r="G31" s="127">
        <f>8000*1/8.75</f>
        <v>914.28571428571433</v>
      </c>
      <c r="H31" s="127">
        <f t="shared" si="6"/>
        <v>91.428571428571445</v>
      </c>
      <c r="I31" s="127">
        <f t="shared" si="7"/>
        <v>822.85714285714289</v>
      </c>
      <c r="J31" s="127">
        <v>0</v>
      </c>
      <c r="K31" s="127">
        <v>0</v>
      </c>
      <c r="L31" s="127">
        <v>0</v>
      </c>
      <c r="M31" s="127">
        <v>0</v>
      </c>
      <c r="N31" s="127">
        <v>0</v>
      </c>
      <c r="O31" s="127">
        <v>0</v>
      </c>
      <c r="P31" s="127">
        <f>(I31/5/365*222)</f>
        <v>100.09549902152642</v>
      </c>
      <c r="Q31" s="127">
        <v>1440</v>
      </c>
      <c r="R31" s="127">
        <v>1440</v>
      </c>
      <c r="S31" s="127">
        <v>1440</v>
      </c>
      <c r="T31" s="127">
        <v>1440.01</v>
      </c>
      <c r="U31" s="127">
        <v>153.13</v>
      </c>
      <c r="V31" s="127">
        <v>0</v>
      </c>
      <c r="W31" s="127">
        <v>0</v>
      </c>
      <c r="X31" s="127">
        <v>0</v>
      </c>
      <c r="Y31" s="127">
        <v>0</v>
      </c>
      <c r="Z31" s="127">
        <v>0</v>
      </c>
      <c r="AA31" s="127">
        <v>0</v>
      </c>
      <c r="AB31" s="127">
        <v>0</v>
      </c>
      <c r="AC31" s="127">
        <v>0</v>
      </c>
      <c r="AD31" s="127">
        <v>0</v>
      </c>
      <c r="AE31" s="127">
        <v>0</v>
      </c>
      <c r="AF31" s="128">
        <v>0</v>
      </c>
      <c r="AG31" s="127">
        <v>0</v>
      </c>
      <c r="AH31" s="127"/>
      <c r="AI31" s="127"/>
      <c r="AJ31" s="127"/>
      <c r="AK31" s="127">
        <v>822.86</v>
      </c>
      <c r="AL31" s="127">
        <f t="shared" si="8"/>
        <v>822.86</v>
      </c>
    </row>
    <row r="32" spans="1:38" s="129" customFormat="1" ht="9">
      <c r="B32" s="123" t="s">
        <v>533</v>
      </c>
      <c r="C32" s="124" t="s">
        <v>517</v>
      </c>
      <c r="D32" s="125" t="s">
        <v>534</v>
      </c>
      <c r="E32" s="126" t="s">
        <v>98</v>
      </c>
      <c r="F32" s="126" t="s">
        <v>535</v>
      </c>
      <c r="G32" s="127">
        <f>9864*1/8.75</f>
        <v>1127.3142857142857</v>
      </c>
      <c r="H32" s="127">
        <f t="shared" si="6"/>
        <v>112.73142857142858</v>
      </c>
      <c r="I32" s="127">
        <f t="shared" si="7"/>
        <v>1014.5828571428572</v>
      </c>
      <c r="J32" s="127">
        <v>0</v>
      </c>
      <c r="K32" s="127">
        <v>0</v>
      </c>
      <c r="L32" s="127">
        <v>0</v>
      </c>
      <c r="M32" s="127">
        <v>0</v>
      </c>
      <c r="N32" s="127">
        <v>0</v>
      </c>
      <c r="O32" s="127">
        <v>0</v>
      </c>
      <c r="P32" s="127">
        <f>(I32/5/365*26)</f>
        <v>14.454331115459883</v>
      </c>
      <c r="Q32" s="127">
        <v>1775.52</v>
      </c>
      <c r="R32" s="127">
        <v>1775.52</v>
      </c>
      <c r="S32" s="127">
        <v>1775.52</v>
      </c>
      <c r="T32" s="127">
        <v>1775.53</v>
      </c>
      <c r="U32" s="127">
        <v>201.26</v>
      </c>
      <c r="V32" s="127">
        <v>0</v>
      </c>
      <c r="W32" s="127">
        <v>0</v>
      </c>
      <c r="X32" s="127">
        <v>0</v>
      </c>
      <c r="Y32" s="127">
        <v>0</v>
      </c>
      <c r="Z32" s="127">
        <v>0</v>
      </c>
      <c r="AA32" s="127">
        <v>0</v>
      </c>
      <c r="AB32" s="127">
        <v>0</v>
      </c>
      <c r="AC32" s="127">
        <v>0</v>
      </c>
      <c r="AD32" s="127">
        <v>0</v>
      </c>
      <c r="AE32" s="127">
        <v>0</v>
      </c>
      <c r="AF32" s="128">
        <v>0</v>
      </c>
      <c r="AG32" s="127">
        <v>0</v>
      </c>
      <c r="AH32" s="127"/>
      <c r="AI32" s="127"/>
      <c r="AJ32" s="127"/>
      <c r="AK32" s="127">
        <v>1014.58</v>
      </c>
      <c r="AL32" s="127">
        <f t="shared" si="8"/>
        <v>1014.58</v>
      </c>
    </row>
    <row r="33" spans="2:38" s="129" customFormat="1" ht="9">
      <c r="B33" s="138" t="s">
        <v>536</v>
      </c>
      <c r="C33" s="124" t="s">
        <v>537</v>
      </c>
      <c r="D33" s="125" t="s">
        <v>538</v>
      </c>
      <c r="E33" s="126" t="s">
        <v>195</v>
      </c>
      <c r="F33" s="126" t="s">
        <v>539</v>
      </c>
      <c r="G33" s="127">
        <v>600</v>
      </c>
      <c r="H33" s="127">
        <f t="shared" si="6"/>
        <v>60</v>
      </c>
      <c r="I33" s="128">
        <f>(G33*0.9)</f>
        <v>540</v>
      </c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28"/>
      <c r="X33" s="150"/>
      <c r="Y33" s="128"/>
      <c r="Z33" s="128"/>
      <c r="AA33" s="128"/>
      <c r="AB33" s="127"/>
      <c r="AC33" s="127"/>
      <c r="AD33" s="127"/>
      <c r="AE33" s="127"/>
      <c r="AF33" s="128"/>
      <c r="AG33" s="127"/>
      <c r="AH33" s="127"/>
      <c r="AI33" s="127"/>
      <c r="AJ33" s="127"/>
      <c r="AK33" s="128">
        <v>540</v>
      </c>
      <c r="AL33" s="128">
        <f>SUM(AK33)</f>
        <v>540</v>
      </c>
    </row>
    <row r="34" spans="2:38" s="129" customFormat="1" ht="16.5">
      <c r="B34" s="130" t="s">
        <v>540</v>
      </c>
      <c r="C34" s="124" t="s">
        <v>541</v>
      </c>
      <c r="D34" s="125" t="s">
        <v>542</v>
      </c>
      <c r="E34" s="126" t="s">
        <v>142</v>
      </c>
      <c r="F34" s="126" t="s">
        <v>543</v>
      </c>
      <c r="G34" s="127">
        <v>628.57000000000005</v>
      </c>
      <c r="H34" s="127">
        <f t="shared" si="6"/>
        <v>62.857000000000006</v>
      </c>
      <c r="I34" s="127">
        <f>(G34*0.9)-0.1</f>
        <v>565.61300000000006</v>
      </c>
      <c r="J34" s="127">
        <v>0</v>
      </c>
      <c r="K34" s="127">
        <v>0</v>
      </c>
      <c r="L34" s="127">
        <v>0</v>
      </c>
      <c r="M34" s="127">
        <v>0</v>
      </c>
      <c r="N34" s="127">
        <v>0</v>
      </c>
      <c r="O34" s="127">
        <v>0</v>
      </c>
      <c r="P34" s="127">
        <v>0</v>
      </c>
      <c r="Q34" s="127">
        <v>0</v>
      </c>
      <c r="R34" s="127">
        <v>0</v>
      </c>
      <c r="S34" s="127">
        <v>0</v>
      </c>
      <c r="T34" s="127">
        <v>0</v>
      </c>
      <c r="U34" s="127">
        <v>8.68</v>
      </c>
      <c r="V34" s="127">
        <v>113.15</v>
      </c>
      <c r="W34" s="127">
        <v>113.14</v>
      </c>
      <c r="X34" s="127">
        <v>113.46</v>
      </c>
      <c r="Y34" s="127">
        <v>113.15</v>
      </c>
      <c r="Z34" s="127">
        <v>104.13</v>
      </c>
      <c r="AA34" s="127">
        <v>0</v>
      </c>
      <c r="AB34" s="127">
        <v>0</v>
      </c>
      <c r="AC34" s="127">
        <v>0</v>
      </c>
      <c r="AD34" s="127">
        <v>0</v>
      </c>
      <c r="AE34" s="127">
        <v>0</v>
      </c>
      <c r="AF34" s="128">
        <v>0</v>
      </c>
      <c r="AG34" s="127">
        <v>0</v>
      </c>
      <c r="AH34" s="127"/>
      <c r="AI34" s="127"/>
      <c r="AJ34" s="127"/>
      <c r="AK34" s="127">
        <f>SUM(U34:Z34)-0.1</f>
        <v>565.61</v>
      </c>
      <c r="AL34" s="127">
        <f t="shared" si="8"/>
        <v>565.61</v>
      </c>
    </row>
    <row r="35" spans="2:38" s="129" customFormat="1" ht="57.75">
      <c r="B35" s="151">
        <v>40170</v>
      </c>
      <c r="C35" s="152" t="s">
        <v>544</v>
      </c>
      <c r="D35" s="152" t="s">
        <v>545</v>
      </c>
      <c r="E35" s="153" t="s">
        <v>98</v>
      </c>
      <c r="F35" s="126" t="s">
        <v>546</v>
      </c>
      <c r="G35" s="127">
        <v>690</v>
      </c>
      <c r="H35" s="127">
        <f t="shared" si="6"/>
        <v>69</v>
      </c>
      <c r="I35" s="128">
        <f>(G35*0.9)</f>
        <v>621</v>
      </c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>
        <v>2.72</v>
      </c>
      <c r="U35" s="127">
        <v>124.22</v>
      </c>
      <c r="V35" s="127">
        <v>124.22</v>
      </c>
      <c r="W35" s="127">
        <f>O35+P35+Q35+R35+S35+T35+U35+V35</f>
        <v>251.16</v>
      </c>
      <c r="X35" s="127">
        <f>ROUND((I35/5/365*31),2)</f>
        <v>10.55</v>
      </c>
      <c r="Y35" s="127">
        <f>ROUND((I35/5/365*29),2)</f>
        <v>9.8699999999999992</v>
      </c>
      <c r="Z35" s="154">
        <f>ROUND((I35/5/365*31),2)</f>
        <v>10.55</v>
      </c>
      <c r="AA35" s="154">
        <f>ROUND((I35/5/365*30),2)</f>
        <v>10.210000000000001</v>
      </c>
      <c r="AB35" s="154">
        <f>ROUND((I35/5/365*31),2)</f>
        <v>10.55</v>
      </c>
      <c r="AC35" s="154">
        <f>ROUND((I35/5/365*30),2)</f>
        <v>10.210000000000001</v>
      </c>
      <c r="AD35" s="154">
        <f>ROUND((I35/5/365*31),2)</f>
        <v>10.55</v>
      </c>
      <c r="AE35" s="154">
        <f>ROUND((I35/5/365*31),2)</f>
        <v>10.55</v>
      </c>
      <c r="AF35" s="128">
        <f>ROUND((I35/5/365*30),2)</f>
        <v>10.210000000000001</v>
      </c>
      <c r="AG35" s="154">
        <f>ROUND((I35/5/365*31),2)</f>
        <v>10.55</v>
      </c>
      <c r="AH35" s="154">
        <f>ROUND((I35/5/365*30),2)</f>
        <v>10.210000000000001</v>
      </c>
      <c r="AI35" s="154"/>
      <c r="AJ35" s="154"/>
      <c r="AK35" s="154">
        <v>621</v>
      </c>
      <c r="AL35" s="127">
        <v>621</v>
      </c>
    </row>
    <row r="36" spans="2:38" s="129" customFormat="1" ht="41.25">
      <c r="B36" s="155">
        <v>40170</v>
      </c>
      <c r="C36" s="152" t="s">
        <v>544</v>
      </c>
      <c r="D36" s="152" t="s">
        <v>547</v>
      </c>
      <c r="E36" s="153" t="s">
        <v>216</v>
      </c>
      <c r="F36" s="126" t="s">
        <v>548</v>
      </c>
      <c r="G36" s="127">
        <v>660</v>
      </c>
      <c r="H36" s="127">
        <f t="shared" si="6"/>
        <v>66</v>
      </c>
      <c r="I36" s="128">
        <f>(G36*0.9)</f>
        <v>594</v>
      </c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>
        <v>2.6</v>
      </c>
      <c r="U36" s="127">
        <v>118.78</v>
      </c>
      <c r="V36" s="127">
        <v>118.78</v>
      </c>
      <c r="W36" s="127">
        <f>O36+P36+Q36+R36+S36+T36+U36+V36</f>
        <v>240.16</v>
      </c>
      <c r="X36" s="127">
        <f>ROUND((I36/5/365*31),2)</f>
        <v>10.09</v>
      </c>
      <c r="Y36" s="127">
        <f>ROUND((I36/5/365*29),2)</f>
        <v>9.44</v>
      </c>
      <c r="Z36" s="154">
        <f>ROUND((I36/5/365*31),2)</f>
        <v>10.09</v>
      </c>
      <c r="AA36" s="154">
        <f>ROUND((I36/5/365*30),2)</f>
        <v>9.76</v>
      </c>
      <c r="AB36" s="154">
        <f>ROUND((I36/5/365*31),2)</f>
        <v>10.09</v>
      </c>
      <c r="AC36" s="154">
        <f>ROUND((I36/5/365*30),2)</f>
        <v>9.76</v>
      </c>
      <c r="AD36" s="154">
        <f>ROUND((I36/5/365*31),2)</f>
        <v>10.09</v>
      </c>
      <c r="AE36" s="154">
        <f>ROUND((I36/5/365*31),2)</f>
        <v>10.09</v>
      </c>
      <c r="AF36" s="128">
        <f>ROUND((I36/5/365*30),2)</f>
        <v>9.76</v>
      </c>
      <c r="AG36" s="154">
        <f>ROUND((I36/5/365*31),2)</f>
        <v>10.09</v>
      </c>
      <c r="AH36" s="154">
        <f>ROUND((I36/5/365*30),2)</f>
        <v>9.76</v>
      </c>
      <c r="AI36" s="154"/>
      <c r="AJ36" s="154"/>
      <c r="AK36" s="154">
        <v>594</v>
      </c>
      <c r="AL36" s="127">
        <v>594</v>
      </c>
    </row>
    <row r="37" spans="2:38" s="129" customFormat="1" ht="16.5">
      <c r="B37" s="156">
        <v>40753</v>
      </c>
      <c r="C37" s="157" t="s">
        <v>549</v>
      </c>
      <c r="D37" s="273" t="s">
        <v>550</v>
      </c>
      <c r="E37" s="159" t="s">
        <v>98</v>
      </c>
      <c r="F37" s="159" t="s">
        <v>551</v>
      </c>
      <c r="G37" s="128">
        <v>1349</v>
      </c>
      <c r="H37" s="128">
        <f t="shared" si="6"/>
        <v>134.9</v>
      </c>
      <c r="I37" s="128">
        <f>(G37*0.9)</f>
        <v>1214.1000000000001</v>
      </c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>
        <v>135.04</v>
      </c>
      <c r="W37" s="128">
        <v>103.11</v>
      </c>
      <c r="X37" s="128">
        <f t="shared" ref="X37" si="9">ROUND((I37/5/365*31),2)</f>
        <v>20.62</v>
      </c>
      <c r="Y37" s="128">
        <f t="shared" ref="Y37" si="10">ROUND((I37/5/365*29),2)</f>
        <v>19.29</v>
      </c>
      <c r="Z37" s="128">
        <f t="shared" ref="Z37" si="11">ROUND((I37/5/365*31),2)</f>
        <v>20.62</v>
      </c>
      <c r="AA37" s="128">
        <f t="shared" ref="AA37" si="12">ROUND((I37/5/365*30),2)</f>
        <v>19.96</v>
      </c>
      <c r="AB37" s="128">
        <f t="shared" ref="AB37" si="13">ROUND((I37/5/365*31),2)</f>
        <v>20.62</v>
      </c>
      <c r="AC37" s="128">
        <f t="shared" ref="AC37" si="14">ROUND((I37/5/365*30),2)</f>
        <v>19.96</v>
      </c>
      <c r="AD37" s="128">
        <f t="shared" ref="AD37" si="15">ROUND((I37/5/365*31),2)</f>
        <v>20.62</v>
      </c>
      <c r="AE37" s="128">
        <f t="shared" ref="AE37" si="16">ROUND((I37/5/365*31),2)</f>
        <v>20.62</v>
      </c>
      <c r="AF37" s="128">
        <f t="shared" ref="AF37" si="17">ROUND((I37/5/365*30),2)</f>
        <v>19.96</v>
      </c>
      <c r="AG37" s="128">
        <f t="shared" ref="AG37" si="18">ROUND((I37/5/365*31),2)</f>
        <v>20.62</v>
      </c>
      <c r="AH37" s="128">
        <f t="shared" ref="AH37" si="19">ROUND((I37/5/365*30),2)</f>
        <v>19.96</v>
      </c>
      <c r="AI37" s="128">
        <f t="shared" ref="AI37" si="20">ROUND((I37/5/365*31),2)</f>
        <v>20.62</v>
      </c>
      <c r="AJ37" s="128"/>
      <c r="AK37" s="127">
        <v>1214.0999999999999</v>
      </c>
      <c r="AL37" s="128">
        <f>ROUND((I37+J37+K37+L37+M37+N37+O37+P37+Q37+R37+S37+T37+U37),2)</f>
        <v>1214.0999999999999</v>
      </c>
    </row>
    <row r="38" spans="2:38" s="129" customFormat="1" ht="33">
      <c r="B38" s="35">
        <v>41369</v>
      </c>
      <c r="C38" s="47" t="s">
        <v>110</v>
      </c>
      <c r="D38" s="47" t="s">
        <v>111</v>
      </c>
      <c r="E38" s="22" t="s">
        <v>112</v>
      </c>
      <c r="F38" s="22" t="s">
        <v>113</v>
      </c>
      <c r="G38" s="21">
        <v>825</v>
      </c>
      <c r="H38" s="21">
        <f>(G38*0.1)</f>
        <v>82.5</v>
      </c>
      <c r="I38" s="21">
        <f>(G38*0.9)</f>
        <v>742.5</v>
      </c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>
        <f>SUM(X38:AI38)</f>
        <v>0</v>
      </c>
      <c r="AK38" s="21">
        <v>742.5</v>
      </c>
      <c r="AL38" s="21">
        <v>742.5</v>
      </c>
    </row>
    <row r="39" spans="2:38" s="129" customFormat="1" ht="9">
      <c r="B39" s="141" t="s">
        <v>511</v>
      </c>
      <c r="C39" s="142"/>
      <c r="D39" s="143"/>
      <c r="E39" s="144"/>
      <c r="F39" s="144"/>
      <c r="G39" s="145">
        <f>SUM(G27:G38)</f>
        <v>10851.312857142857</v>
      </c>
      <c r="H39" s="145">
        <f>SUM(H27:H38)</f>
        <v>1085.1312857142857</v>
      </c>
      <c r="I39" s="145">
        <f>SUM(I27:I38)</f>
        <v>9766.0815714285727</v>
      </c>
      <c r="J39" s="145">
        <f t="shared" ref="J39:AG39" si="21">SUM(J27:J34)</f>
        <v>0</v>
      </c>
      <c r="K39" s="145">
        <f t="shared" si="21"/>
        <v>0</v>
      </c>
      <c r="L39" s="145">
        <f t="shared" si="21"/>
        <v>0</v>
      </c>
      <c r="M39" s="145">
        <f t="shared" si="21"/>
        <v>0</v>
      </c>
      <c r="N39" s="145">
        <f t="shared" si="21"/>
        <v>0</v>
      </c>
      <c r="O39" s="145">
        <f t="shared" si="21"/>
        <v>0</v>
      </c>
      <c r="P39" s="145">
        <f t="shared" si="21"/>
        <v>1215.4039005870841</v>
      </c>
      <c r="Q39" s="145">
        <f t="shared" si="21"/>
        <v>9605.52</v>
      </c>
      <c r="R39" s="145">
        <f t="shared" si="21"/>
        <v>9605.52</v>
      </c>
      <c r="S39" s="145">
        <f t="shared" si="21"/>
        <v>9605.52</v>
      </c>
      <c r="T39" s="145">
        <f t="shared" si="21"/>
        <v>9605.5300000000007</v>
      </c>
      <c r="U39" s="145">
        <f t="shared" si="21"/>
        <v>967.56999999999994</v>
      </c>
      <c r="V39" s="145">
        <f t="shared" si="21"/>
        <v>113.15</v>
      </c>
      <c r="W39" s="145">
        <f t="shared" si="21"/>
        <v>113.14</v>
      </c>
      <c r="X39" s="145">
        <f t="shared" si="21"/>
        <v>113.46</v>
      </c>
      <c r="Y39" s="145">
        <f t="shared" si="21"/>
        <v>113.15</v>
      </c>
      <c r="Z39" s="145">
        <f t="shared" si="21"/>
        <v>104.13</v>
      </c>
      <c r="AA39" s="145">
        <f t="shared" si="21"/>
        <v>0</v>
      </c>
      <c r="AB39" s="145">
        <f t="shared" si="21"/>
        <v>0</v>
      </c>
      <c r="AC39" s="145">
        <f t="shared" si="21"/>
        <v>0</v>
      </c>
      <c r="AD39" s="145">
        <f t="shared" si="21"/>
        <v>0</v>
      </c>
      <c r="AE39" s="145">
        <f t="shared" si="21"/>
        <v>0</v>
      </c>
      <c r="AF39" s="145">
        <f t="shared" si="21"/>
        <v>0</v>
      </c>
      <c r="AG39" s="145">
        <f t="shared" si="21"/>
        <v>0</v>
      </c>
      <c r="AH39" s="145"/>
      <c r="AI39" s="145"/>
      <c r="AJ39" s="145"/>
      <c r="AK39" s="145">
        <f>SUM(AK27:AK38)</f>
        <v>9766.07</v>
      </c>
      <c r="AL39" s="145">
        <f>SUM(AL27:AL38)</f>
        <v>9766.07</v>
      </c>
    </row>
    <row r="40" spans="2:38" s="129" customFormat="1" ht="9">
      <c r="B40" s="146" t="s">
        <v>552</v>
      </c>
      <c r="C40" s="142"/>
      <c r="D40" s="147"/>
      <c r="E40" s="148"/>
      <c r="F40" s="148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</row>
    <row r="41" spans="2:38" s="129" customFormat="1" ht="9">
      <c r="B41" s="130" t="s">
        <v>553</v>
      </c>
      <c r="C41" s="124" t="s">
        <v>554</v>
      </c>
      <c r="D41" s="124" t="s">
        <v>555</v>
      </c>
      <c r="E41" s="131" t="s">
        <v>105</v>
      </c>
      <c r="F41" s="131" t="s">
        <v>556</v>
      </c>
      <c r="G41" s="127">
        <f>6120*1/8.75</f>
        <v>699.42857142857144</v>
      </c>
      <c r="H41" s="127">
        <f t="shared" ref="H41:H51" si="22">(G41*0.1)</f>
        <v>69.94285714285715</v>
      </c>
      <c r="I41" s="127">
        <f t="shared" ref="I41:I51" si="23">(G41*0.9)</f>
        <v>629.48571428571427</v>
      </c>
      <c r="J41" s="160">
        <v>0</v>
      </c>
      <c r="K41" s="127">
        <f>(I41/5/365*203)</f>
        <v>70.019506849315064</v>
      </c>
      <c r="L41" s="127">
        <f t="shared" ref="L41:L43" si="24">(I41/5/365*365)</f>
        <v>125.89714285714285</v>
      </c>
      <c r="M41" s="127">
        <f t="shared" ref="M41:M44" si="25">(I41/5/365*365)</f>
        <v>125.89714285714285</v>
      </c>
      <c r="N41" s="127">
        <f t="shared" ref="N41:N45" si="26">(I41/5/365*365)</f>
        <v>125.89714285714285</v>
      </c>
      <c r="O41" s="127">
        <f t="shared" ref="O41:O45" si="27">(I41/5/365*365)</f>
        <v>125.89714285714285</v>
      </c>
      <c r="P41" s="127">
        <v>488.93</v>
      </c>
      <c r="Q41" s="127">
        <v>0</v>
      </c>
      <c r="R41" s="127">
        <v>0</v>
      </c>
      <c r="S41" s="127">
        <v>0</v>
      </c>
      <c r="T41" s="127">
        <v>0</v>
      </c>
      <c r="U41" s="127">
        <v>629.49</v>
      </c>
      <c r="V41" s="127">
        <v>0</v>
      </c>
      <c r="W41" s="127">
        <v>0</v>
      </c>
      <c r="X41" s="127">
        <v>0</v>
      </c>
      <c r="Y41" s="127">
        <v>0</v>
      </c>
      <c r="Z41" s="127">
        <v>0</v>
      </c>
      <c r="AA41" s="127">
        <v>0</v>
      </c>
      <c r="AB41" s="127">
        <v>0</v>
      </c>
      <c r="AC41" s="127">
        <v>0</v>
      </c>
      <c r="AD41" s="127">
        <v>0</v>
      </c>
      <c r="AE41" s="127">
        <v>0</v>
      </c>
      <c r="AF41" s="128">
        <v>0</v>
      </c>
      <c r="AG41" s="127">
        <v>0</v>
      </c>
      <c r="AH41" s="127"/>
      <c r="AI41" s="127"/>
      <c r="AJ41" s="127"/>
      <c r="AK41" s="127">
        <v>629.49</v>
      </c>
      <c r="AL41" s="127">
        <f t="shared" ref="AL41:AL66" si="28">SUM(AK41)</f>
        <v>629.49</v>
      </c>
    </row>
    <row r="42" spans="2:38" s="129" customFormat="1" ht="9">
      <c r="B42" s="123" t="s">
        <v>557</v>
      </c>
      <c r="C42" s="124" t="s">
        <v>558</v>
      </c>
      <c r="D42" s="124" t="s">
        <v>559</v>
      </c>
      <c r="E42" s="131" t="s">
        <v>195</v>
      </c>
      <c r="F42" s="131" t="s">
        <v>560</v>
      </c>
      <c r="G42" s="127">
        <f>5990*1/8.75</f>
        <v>684.57142857142856</v>
      </c>
      <c r="H42" s="127">
        <f t="shared" si="22"/>
        <v>68.457142857142856</v>
      </c>
      <c r="I42" s="127">
        <f t="shared" si="23"/>
        <v>616.11428571428576</v>
      </c>
      <c r="J42" s="160">
        <v>0</v>
      </c>
      <c r="K42" s="127">
        <v>330.85</v>
      </c>
      <c r="L42" s="127">
        <f t="shared" si="24"/>
        <v>123.22285714285715</v>
      </c>
      <c r="M42" s="127">
        <f t="shared" si="25"/>
        <v>123.22285714285715</v>
      </c>
      <c r="N42" s="127">
        <f t="shared" si="26"/>
        <v>123.22285714285715</v>
      </c>
      <c r="O42" s="127">
        <f t="shared" si="27"/>
        <v>123.22285714285715</v>
      </c>
      <c r="P42" s="127">
        <v>747.35</v>
      </c>
      <c r="Q42" s="127">
        <v>0</v>
      </c>
      <c r="R42" s="127">
        <v>0</v>
      </c>
      <c r="S42" s="127">
        <v>0</v>
      </c>
      <c r="T42" s="127">
        <v>0</v>
      </c>
      <c r="U42" s="127">
        <v>616.11</v>
      </c>
      <c r="V42" s="127">
        <v>0</v>
      </c>
      <c r="W42" s="127">
        <v>0</v>
      </c>
      <c r="X42" s="127">
        <v>0</v>
      </c>
      <c r="Y42" s="127">
        <v>0</v>
      </c>
      <c r="Z42" s="127">
        <v>0</v>
      </c>
      <c r="AA42" s="127">
        <v>0</v>
      </c>
      <c r="AB42" s="127">
        <v>0</v>
      </c>
      <c r="AC42" s="127">
        <v>0</v>
      </c>
      <c r="AD42" s="127">
        <v>0</v>
      </c>
      <c r="AE42" s="127">
        <v>0</v>
      </c>
      <c r="AF42" s="128">
        <v>0</v>
      </c>
      <c r="AG42" s="127">
        <v>0</v>
      </c>
      <c r="AH42" s="127"/>
      <c r="AI42" s="127"/>
      <c r="AJ42" s="127"/>
      <c r="AK42" s="127">
        <v>616.11</v>
      </c>
      <c r="AL42" s="127">
        <f t="shared" si="28"/>
        <v>616.11</v>
      </c>
    </row>
    <row r="43" spans="2:38" s="129" customFormat="1" ht="9">
      <c r="B43" s="155">
        <v>33563</v>
      </c>
      <c r="C43" s="124" t="s">
        <v>561</v>
      </c>
      <c r="D43" s="124" t="s">
        <v>562</v>
      </c>
      <c r="E43" s="131" t="s">
        <v>203</v>
      </c>
      <c r="F43" s="131" t="s">
        <v>563</v>
      </c>
      <c r="G43" s="127">
        <f>7289*1/8.75</f>
        <v>833.02857142857147</v>
      </c>
      <c r="H43" s="127">
        <f t="shared" si="22"/>
        <v>83.30285714285715</v>
      </c>
      <c r="I43" s="127">
        <f t="shared" si="23"/>
        <v>749.72571428571439</v>
      </c>
      <c r="J43" s="160">
        <v>0</v>
      </c>
      <c r="K43" s="127">
        <f>(I43/5/365*40)</f>
        <v>16.432344422700591</v>
      </c>
      <c r="L43" s="127">
        <f t="shared" si="24"/>
        <v>149.94514285714288</v>
      </c>
      <c r="M43" s="127">
        <f t="shared" si="25"/>
        <v>149.94514285714288</v>
      </c>
      <c r="N43" s="127">
        <f t="shared" si="26"/>
        <v>149.94514285714288</v>
      </c>
      <c r="O43" s="127">
        <f t="shared" si="27"/>
        <v>149.94514285714288</v>
      </c>
      <c r="P43" s="127">
        <f>(I43/5/365*325)</f>
        <v>133.51279843444229</v>
      </c>
      <c r="Q43" s="127">
        <v>0</v>
      </c>
      <c r="R43" s="127">
        <v>0</v>
      </c>
      <c r="S43" s="127">
        <v>0</v>
      </c>
      <c r="T43" s="127">
        <v>0</v>
      </c>
      <c r="U43" s="127">
        <v>749.73</v>
      </c>
      <c r="V43" s="127">
        <v>0</v>
      </c>
      <c r="W43" s="127">
        <v>0</v>
      </c>
      <c r="X43" s="127">
        <v>0</v>
      </c>
      <c r="Y43" s="127">
        <v>0</v>
      </c>
      <c r="Z43" s="127">
        <v>0</v>
      </c>
      <c r="AA43" s="127">
        <v>0</v>
      </c>
      <c r="AB43" s="127">
        <v>0</v>
      </c>
      <c r="AC43" s="127">
        <v>0</v>
      </c>
      <c r="AD43" s="127">
        <v>0</v>
      </c>
      <c r="AE43" s="127">
        <v>0</v>
      </c>
      <c r="AF43" s="128">
        <v>0</v>
      </c>
      <c r="AG43" s="127">
        <v>0</v>
      </c>
      <c r="AH43" s="127"/>
      <c r="AI43" s="127"/>
      <c r="AJ43" s="127"/>
      <c r="AK43" s="127">
        <v>749.73</v>
      </c>
      <c r="AL43" s="127">
        <f t="shared" si="28"/>
        <v>749.73</v>
      </c>
    </row>
    <row r="44" spans="2:38" s="129" customFormat="1" ht="9">
      <c r="B44" s="123" t="s">
        <v>564</v>
      </c>
      <c r="C44" s="124" t="s">
        <v>565</v>
      </c>
      <c r="D44" s="124" t="s">
        <v>566</v>
      </c>
      <c r="E44" s="131" t="s">
        <v>98</v>
      </c>
      <c r="F44" s="131" t="s">
        <v>567</v>
      </c>
      <c r="G44" s="127">
        <f>5380*1/8.75</f>
        <v>614.85714285714289</v>
      </c>
      <c r="H44" s="127">
        <f t="shared" si="22"/>
        <v>61.485714285714295</v>
      </c>
      <c r="I44" s="127">
        <f t="shared" si="23"/>
        <v>553.37142857142862</v>
      </c>
      <c r="J44" s="127">
        <v>0</v>
      </c>
      <c r="K44" s="127">
        <v>0</v>
      </c>
      <c r="L44" s="127">
        <f>(I44/5/365*344)</f>
        <v>104.30672407045012</v>
      </c>
      <c r="M44" s="127">
        <f t="shared" si="25"/>
        <v>110.67428571428573</v>
      </c>
      <c r="N44" s="127">
        <f t="shared" si="26"/>
        <v>110.67428571428573</v>
      </c>
      <c r="O44" s="127">
        <f t="shared" si="27"/>
        <v>110.67428571428573</v>
      </c>
      <c r="P44" s="127">
        <f>(I44/5/365*344)</f>
        <v>104.30672407045012</v>
      </c>
      <c r="Q44" s="127">
        <v>111.43</v>
      </c>
      <c r="R44" s="127">
        <v>0</v>
      </c>
      <c r="S44" s="127">
        <v>0</v>
      </c>
      <c r="T44" s="127">
        <v>0</v>
      </c>
      <c r="U44" s="127">
        <v>553.37</v>
      </c>
      <c r="V44" s="127">
        <v>0</v>
      </c>
      <c r="W44" s="127">
        <v>0</v>
      </c>
      <c r="X44" s="127">
        <v>0</v>
      </c>
      <c r="Y44" s="127">
        <v>0</v>
      </c>
      <c r="Z44" s="127">
        <v>0</v>
      </c>
      <c r="AA44" s="127">
        <v>0</v>
      </c>
      <c r="AB44" s="127">
        <v>0</v>
      </c>
      <c r="AC44" s="127">
        <v>0</v>
      </c>
      <c r="AD44" s="127">
        <v>0</v>
      </c>
      <c r="AE44" s="127">
        <v>0</v>
      </c>
      <c r="AF44" s="128">
        <v>0</v>
      </c>
      <c r="AG44" s="127">
        <v>0</v>
      </c>
      <c r="AH44" s="127"/>
      <c r="AI44" s="127"/>
      <c r="AJ44" s="127"/>
      <c r="AK44" s="127">
        <v>553.37</v>
      </c>
      <c r="AL44" s="127">
        <f t="shared" si="28"/>
        <v>553.37</v>
      </c>
    </row>
    <row r="45" spans="2:38" s="129" customFormat="1" ht="16.5">
      <c r="B45" s="161">
        <v>34250</v>
      </c>
      <c r="C45" s="124" t="s">
        <v>568</v>
      </c>
      <c r="D45" s="124" t="s">
        <v>569</v>
      </c>
      <c r="E45" s="131" t="s">
        <v>98</v>
      </c>
      <c r="F45" s="131" t="s">
        <v>570</v>
      </c>
      <c r="G45" s="127">
        <f>6000*1/8.75</f>
        <v>685.71428571428567</v>
      </c>
      <c r="H45" s="127">
        <f t="shared" si="22"/>
        <v>68.571428571428569</v>
      </c>
      <c r="I45" s="127">
        <f t="shared" si="23"/>
        <v>617.14285714285711</v>
      </c>
      <c r="J45" s="127">
        <v>0</v>
      </c>
      <c r="K45" s="127">
        <v>0</v>
      </c>
      <c r="L45" s="127">
        <v>0</v>
      </c>
      <c r="M45" s="127">
        <f>(I45/5/365*143)</f>
        <v>48.356947162426607</v>
      </c>
      <c r="N45" s="127">
        <f t="shared" si="26"/>
        <v>123.42857142857142</v>
      </c>
      <c r="O45" s="127">
        <f t="shared" si="27"/>
        <v>123.42857142857142</v>
      </c>
      <c r="P45" s="127">
        <f>(I45/5/365*365)</f>
        <v>123.42857142857142</v>
      </c>
      <c r="Q45" s="127">
        <v>1080</v>
      </c>
      <c r="R45" s="127">
        <v>656.88</v>
      </c>
      <c r="S45" s="127">
        <v>0</v>
      </c>
      <c r="T45" s="127">
        <v>0</v>
      </c>
      <c r="U45" s="127">
        <v>617.14</v>
      </c>
      <c r="V45" s="127">
        <v>0</v>
      </c>
      <c r="W45" s="127">
        <v>0</v>
      </c>
      <c r="X45" s="127">
        <v>0</v>
      </c>
      <c r="Y45" s="127">
        <v>0</v>
      </c>
      <c r="Z45" s="127">
        <v>0</v>
      </c>
      <c r="AA45" s="127">
        <v>0</v>
      </c>
      <c r="AB45" s="127">
        <v>0</v>
      </c>
      <c r="AC45" s="127">
        <v>0</v>
      </c>
      <c r="AD45" s="127">
        <v>0</v>
      </c>
      <c r="AE45" s="127">
        <v>0</v>
      </c>
      <c r="AF45" s="128">
        <v>0</v>
      </c>
      <c r="AG45" s="127">
        <v>0</v>
      </c>
      <c r="AH45" s="127"/>
      <c r="AI45" s="127"/>
      <c r="AJ45" s="127"/>
      <c r="AK45" s="127">
        <v>617.14</v>
      </c>
      <c r="AL45" s="127">
        <f t="shared" si="28"/>
        <v>617.14</v>
      </c>
    </row>
    <row r="46" spans="2:38" s="129" customFormat="1" ht="16.5">
      <c r="B46" s="123" t="s">
        <v>571</v>
      </c>
      <c r="C46" s="124" t="s">
        <v>165</v>
      </c>
      <c r="D46" s="124" t="s">
        <v>572</v>
      </c>
      <c r="E46" s="131" t="s">
        <v>195</v>
      </c>
      <c r="F46" s="131" t="s">
        <v>573</v>
      </c>
      <c r="G46" s="127">
        <f>10000*1/8.75</f>
        <v>1142.8571428571429</v>
      </c>
      <c r="H46" s="127">
        <f t="shared" si="22"/>
        <v>114.28571428571429</v>
      </c>
      <c r="I46" s="127">
        <f t="shared" si="23"/>
        <v>1028.5714285714287</v>
      </c>
      <c r="J46" s="127">
        <v>0</v>
      </c>
      <c r="K46" s="127">
        <v>0</v>
      </c>
      <c r="L46" s="127">
        <v>0</v>
      </c>
      <c r="M46" s="127">
        <v>0</v>
      </c>
      <c r="N46" s="127">
        <v>0</v>
      </c>
      <c r="O46" s="127">
        <f>(I46/5/365*51)</f>
        <v>28.743639921722114</v>
      </c>
      <c r="P46" s="127">
        <v>1800</v>
      </c>
      <c r="Q46" s="127">
        <v>1800</v>
      </c>
      <c r="R46" s="127">
        <v>1800</v>
      </c>
      <c r="S46" s="127">
        <v>1800</v>
      </c>
      <c r="T46" s="127">
        <v>1548.49</v>
      </c>
      <c r="U46" s="127">
        <v>1028.57</v>
      </c>
      <c r="V46" s="127">
        <v>0</v>
      </c>
      <c r="W46" s="127">
        <v>0</v>
      </c>
      <c r="X46" s="127">
        <v>0</v>
      </c>
      <c r="Y46" s="127">
        <v>0</v>
      </c>
      <c r="Z46" s="127">
        <v>0</v>
      </c>
      <c r="AA46" s="127">
        <v>0</v>
      </c>
      <c r="AB46" s="127">
        <v>0</v>
      </c>
      <c r="AC46" s="127">
        <v>0</v>
      </c>
      <c r="AD46" s="127">
        <v>0</v>
      </c>
      <c r="AE46" s="127">
        <v>0</v>
      </c>
      <c r="AF46" s="128">
        <v>0</v>
      </c>
      <c r="AG46" s="127">
        <v>0</v>
      </c>
      <c r="AH46" s="127"/>
      <c r="AI46" s="127"/>
      <c r="AJ46" s="127"/>
      <c r="AK46" s="127">
        <v>1028.57</v>
      </c>
      <c r="AL46" s="127">
        <f t="shared" si="28"/>
        <v>1028.57</v>
      </c>
    </row>
    <row r="47" spans="2:38" s="129" customFormat="1" ht="9">
      <c r="B47" s="130" t="s">
        <v>574</v>
      </c>
      <c r="C47" s="124" t="s">
        <v>575</v>
      </c>
      <c r="D47" s="125" t="s">
        <v>576</v>
      </c>
      <c r="E47" s="126" t="s">
        <v>203</v>
      </c>
      <c r="F47" s="126" t="s">
        <v>577</v>
      </c>
      <c r="G47" s="127">
        <v>665.09</v>
      </c>
      <c r="H47" s="127">
        <f t="shared" si="22"/>
        <v>66.509</v>
      </c>
      <c r="I47" s="127">
        <f t="shared" si="23"/>
        <v>598.58100000000002</v>
      </c>
      <c r="J47" s="127">
        <v>0</v>
      </c>
      <c r="K47" s="127">
        <v>0</v>
      </c>
      <c r="L47" s="127">
        <v>0</v>
      </c>
      <c r="M47" s="127">
        <v>0</v>
      </c>
      <c r="N47" s="127">
        <v>0</v>
      </c>
      <c r="O47" s="127">
        <v>0</v>
      </c>
      <c r="P47" s="127">
        <v>0</v>
      </c>
      <c r="Q47" s="127">
        <v>0</v>
      </c>
      <c r="R47" s="127">
        <v>0</v>
      </c>
      <c r="S47" s="127">
        <v>0</v>
      </c>
      <c r="T47" s="127">
        <v>0</v>
      </c>
      <c r="U47" s="127">
        <v>78.069999999999993</v>
      </c>
      <c r="V47" s="127">
        <v>119.73</v>
      </c>
      <c r="W47" s="127">
        <v>119.72</v>
      </c>
      <c r="X47" s="127">
        <v>120.06</v>
      </c>
      <c r="Y47" s="127">
        <v>119.73</v>
      </c>
      <c r="Z47" s="127">
        <v>41.27</v>
      </c>
      <c r="AA47" s="127">
        <v>0</v>
      </c>
      <c r="AB47" s="127">
        <v>0</v>
      </c>
      <c r="AC47" s="127">
        <v>0</v>
      </c>
      <c r="AD47" s="127">
        <v>0</v>
      </c>
      <c r="AE47" s="127">
        <v>0</v>
      </c>
      <c r="AF47" s="128">
        <v>0</v>
      </c>
      <c r="AG47" s="127">
        <v>0</v>
      </c>
      <c r="AH47" s="127"/>
      <c r="AI47" s="127"/>
      <c r="AJ47" s="127"/>
      <c r="AK47" s="127">
        <v>598.58000000000004</v>
      </c>
      <c r="AL47" s="127">
        <f t="shared" si="28"/>
        <v>598.58000000000004</v>
      </c>
    </row>
    <row r="48" spans="2:38" s="129" customFormat="1" ht="16.5">
      <c r="B48" s="130" t="s">
        <v>578</v>
      </c>
      <c r="C48" s="124" t="s">
        <v>114</v>
      </c>
      <c r="D48" s="125" t="s">
        <v>579</v>
      </c>
      <c r="E48" s="126" t="s">
        <v>283</v>
      </c>
      <c r="F48" s="126" t="s">
        <v>580</v>
      </c>
      <c r="G48" s="127">
        <v>1269.22</v>
      </c>
      <c r="H48" s="127">
        <f t="shared" si="22"/>
        <v>126.92200000000001</v>
      </c>
      <c r="I48" s="127">
        <f t="shared" si="23"/>
        <v>1142.298</v>
      </c>
      <c r="J48" s="127">
        <v>0</v>
      </c>
      <c r="K48" s="127">
        <v>0</v>
      </c>
      <c r="L48" s="127">
        <v>0</v>
      </c>
      <c r="M48" s="127">
        <v>0</v>
      </c>
      <c r="N48" s="127">
        <v>0</v>
      </c>
      <c r="O48" s="127">
        <v>0</v>
      </c>
      <c r="P48" s="127">
        <v>0</v>
      </c>
      <c r="Q48" s="127">
        <v>0</v>
      </c>
      <c r="R48" s="127">
        <v>0</v>
      </c>
      <c r="S48" s="127">
        <v>0</v>
      </c>
      <c r="T48" s="127">
        <v>0</v>
      </c>
      <c r="U48" s="127">
        <v>0</v>
      </c>
      <c r="V48" s="127">
        <v>0</v>
      </c>
      <c r="W48" s="127">
        <v>193.41</v>
      </c>
      <c r="X48" s="127">
        <v>229.07</v>
      </c>
      <c r="Y48" s="127">
        <v>228.45</v>
      </c>
      <c r="Z48" s="127">
        <v>228.45</v>
      </c>
      <c r="AA48" s="127">
        <v>228.45</v>
      </c>
      <c r="AB48" s="127">
        <v>34.47</v>
      </c>
      <c r="AC48" s="127">
        <v>0</v>
      </c>
      <c r="AD48" s="127">
        <v>0</v>
      </c>
      <c r="AE48" s="127">
        <v>0</v>
      </c>
      <c r="AF48" s="128">
        <v>0</v>
      </c>
      <c r="AG48" s="127">
        <v>0</v>
      </c>
      <c r="AH48" s="127"/>
      <c r="AI48" s="127"/>
      <c r="AJ48" s="127"/>
      <c r="AK48" s="127">
        <v>1142.3</v>
      </c>
      <c r="AL48" s="127">
        <f t="shared" si="28"/>
        <v>1142.3</v>
      </c>
    </row>
    <row r="49" spans="2:38" s="129" customFormat="1" ht="9">
      <c r="B49" s="130" t="s">
        <v>581</v>
      </c>
      <c r="C49" s="124" t="s">
        <v>114</v>
      </c>
      <c r="D49" s="125" t="s">
        <v>582</v>
      </c>
      <c r="E49" s="126" t="s">
        <v>359</v>
      </c>
      <c r="F49" s="126" t="s">
        <v>583</v>
      </c>
      <c r="G49" s="127">
        <v>824.61</v>
      </c>
      <c r="H49" s="127">
        <f t="shared" si="22"/>
        <v>82.461000000000013</v>
      </c>
      <c r="I49" s="127">
        <f t="shared" si="23"/>
        <v>742.149</v>
      </c>
      <c r="J49" s="127">
        <v>0</v>
      </c>
      <c r="K49" s="127">
        <v>0</v>
      </c>
      <c r="L49" s="127">
        <v>0</v>
      </c>
      <c r="M49" s="127">
        <v>0</v>
      </c>
      <c r="N49" s="127">
        <v>0</v>
      </c>
      <c r="O49" s="127">
        <v>0</v>
      </c>
      <c r="P49" s="127">
        <v>0</v>
      </c>
      <c r="Q49" s="127">
        <v>0</v>
      </c>
      <c r="R49" s="127">
        <v>0</v>
      </c>
      <c r="S49" s="127">
        <v>0</v>
      </c>
      <c r="T49" s="127">
        <v>0</v>
      </c>
      <c r="U49" s="127">
        <v>0</v>
      </c>
      <c r="V49" s="127">
        <v>0</v>
      </c>
      <c r="W49" s="127">
        <v>94.34</v>
      </c>
      <c r="X49" s="127">
        <v>148.86000000000001</v>
      </c>
      <c r="Y49" s="127">
        <v>148.46</v>
      </c>
      <c r="Z49" s="127">
        <v>148.46</v>
      </c>
      <c r="AA49" s="127">
        <v>148.46</v>
      </c>
      <c r="AB49" s="127">
        <v>53.57</v>
      </c>
      <c r="AC49" s="127">
        <v>0</v>
      </c>
      <c r="AD49" s="127">
        <v>0</v>
      </c>
      <c r="AE49" s="127">
        <v>0</v>
      </c>
      <c r="AF49" s="128">
        <v>0</v>
      </c>
      <c r="AG49" s="127">
        <v>0</v>
      </c>
      <c r="AH49" s="127"/>
      <c r="AI49" s="127"/>
      <c r="AJ49" s="127"/>
      <c r="AK49" s="127">
        <v>742.15</v>
      </c>
      <c r="AL49" s="127">
        <f t="shared" si="28"/>
        <v>742.15</v>
      </c>
    </row>
    <row r="50" spans="2:38" s="129" customFormat="1" ht="16.5">
      <c r="B50" s="130" t="s">
        <v>584</v>
      </c>
      <c r="C50" s="124" t="s">
        <v>585</v>
      </c>
      <c r="D50" s="125" t="s">
        <v>586</v>
      </c>
      <c r="E50" s="126" t="s">
        <v>98</v>
      </c>
      <c r="F50" s="126" t="s">
        <v>587</v>
      </c>
      <c r="G50" s="127">
        <v>640</v>
      </c>
      <c r="H50" s="127">
        <f t="shared" si="22"/>
        <v>64</v>
      </c>
      <c r="I50" s="127">
        <f t="shared" si="23"/>
        <v>576</v>
      </c>
      <c r="J50" s="127">
        <v>0</v>
      </c>
      <c r="K50" s="127">
        <v>0</v>
      </c>
      <c r="L50" s="127">
        <v>0</v>
      </c>
      <c r="M50" s="127">
        <v>0</v>
      </c>
      <c r="N50" s="127">
        <v>0</v>
      </c>
      <c r="O50" s="127">
        <v>0</v>
      </c>
      <c r="P50" s="127">
        <v>0</v>
      </c>
      <c r="Q50" s="127">
        <v>0</v>
      </c>
      <c r="R50" s="127">
        <v>0</v>
      </c>
      <c r="S50" s="127">
        <v>0</v>
      </c>
      <c r="T50" s="127">
        <v>0</v>
      </c>
      <c r="U50" s="127">
        <v>0</v>
      </c>
      <c r="V50" s="127">
        <v>0</v>
      </c>
      <c r="W50" s="127">
        <v>0</v>
      </c>
      <c r="X50" s="127">
        <v>0</v>
      </c>
      <c r="Y50" s="127">
        <v>0</v>
      </c>
      <c r="Z50" s="127">
        <v>93.72</v>
      </c>
      <c r="AA50" s="127">
        <v>115.18</v>
      </c>
      <c r="AB50" s="127">
        <v>115.49</v>
      </c>
      <c r="AC50" s="127">
        <v>115.18</v>
      </c>
      <c r="AD50" s="127">
        <v>115.18</v>
      </c>
      <c r="AE50" s="127">
        <v>21.25</v>
      </c>
      <c r="AF50" s="128">
        <v>0</v>
      </c>
      <c r="AG50" s="127">
        <v>0</v>
      </c>
      <c r="AH50" s="127"/>
      <c r="AI50" s="127"/>
      <c r="AJ50" s="127"/>
      <c r="AK50" s="127">
        <v>576</v>
      </c>
      <c r="AL50" s="127">
        <f t="shared" si="28"/>
        <v>576</v>
      </c>
    </row>
    <row r="51" spans="2:38" s="129" customFormat="1" ht="16.5">
      <c r="B51" s="162" t="s">
        <v>588</v>
      </c>
      <c r="C51" s="124" t="s">
        <v>589</v>
      </c>
      <c r="D51" s="125" t="s">
        <v>590</v>
      </c>
      <c r="E51" s="163" t="s">
        <v>98</v>
      </c>
      <c r="F51" s="163" t="s">
        <v>591</v>
      </c>
      <c r="G51" s="164">
        <v>2160</v>
      </c>
      <c r="H51" s="164">
        <f t="shared" si="22"/>
        <v>216</v>
      </c>
      <c r="I51" s="164">
        <f t="shared" si="23"/>
        <v>1944</v>
      </c>
      <c r="J51" s="164">
        <v>0</v>
      </c>
      <c r="K51" s="164">
        <v>0</v>
      </c>
      <c r="L51" s="164">
        <v>0</v>
      </c>
      <c r="M51" s="164">
        <v>0</v>
      </c>
      <c r="N51" s="164">
        <v>0</v>
      </c>
      <c r="O51" s="164">
        <v>0</v>
      </c>
      <c r="P51" s="164">
        <v>0</v>
      </c>
      <c r="Q51" s="164">
        <v>0</v>
      </c>
      <c r="R51" s="164">
        <v>0</v>
      </c>
      <c r="S51" s="164">
        <v>0</v>
      </c>
      <c r="T51" s="164">
        <v>0</v>
      </c>
      <c r="U51" s="164">
        <v>0</v>
      </c>
      <c r="V51" s="164">
        <v>0</v>
      </c>
      <c r="W51" s="164">
        <v>0</v>
      </c>
      <c r="X51" s="164">
        <v>0</v>
      </c>
      <c r="Y51" s="164">
        <v>0</v>
      </c>
      <c r="Z51" s="164">
        <v>235.42</v>
      </c>
      <c r="AA51" s="164">
        <v>388.81</v>
      </c>
      <c r="AB51" s="164">
        <v>389.87</v>
      </c>
      <c r="AC51" s="164">
        <v>388.81</v>
      </c>
      <c r="AD51" s="164">
        <v>388.81</v>
      </c>
      <c r="AE51" s="127">
        <v>152.28</v>
      </c>
      <c r="AF51" s="128">
        <v>0</v>
      </c>
      <c r="AG51" s="127">
        <v>0</v>
      </c>
      <c r="AH51" s="127"/>
      <c r="AI51" s="127"/>
      <c r="AJ51" s="127"/>
      <c r="AK51" s="164">
        <v>1944</v>
      </c>
      <c r="AL51" s="164">
        <f t="shared" si="28"/>
        <v>1944</v>
      </c>
    </row>
    <row r="52" spans="2:38" s="129" customFormat="1" ht="9">
      <c r="B52" s="130" t="s">
        <v>592</v>
      </c>
      <c r="C52" s="124" t="s">
        <v>593</v>
      </c>
      <c r="D52" s="125" t="s">
        <v>594</v>
      </c>
      <c r="E52" s="126" t="s">
        <v>121</v>
      </c>
      <c r="F52" s="126" t="s">
        <v>595</v>
      </c>
      <c r="G52" s="127">
        <v>1900</v>
      </c>
      <c r="H52" s="127">
        <f>(G52*0.1)</f>
        <v>190</v>
      </c>
      <c r="I52" s="127">
        <f>(G52*0.9)</f>
        <v>1710</v>
      </c>
      <c r="J52" s="127">
        <v>0</v>
      </c>
      <c r="K52" s="127">
        <v>0</v>
      </c>
      <c r="L52" s="127">
        <v>0</v>
      </c>
      <c r="M52" s="127">
        <v>0</v>
      </c>
      <c r="N52" s="127">
        <v>0</v>
      </c>
      <c r="O52" s="127">
        <v>0</v>
      </c>
      <c r="P52" s="127">
        <v>0</v>
      </c>
      <c r="Q52" s="127">
        <v>0</v>
      </c>
      <c r="R52" s="127">
        <v>0</v>
      </c>
      <c r="S52" s="127">
        <v>0</v>
      </c>
      <c r="T52" s="127">
        <v>0</v>
      </c>
      <c r="U52" s="127">
        <v>0</v>
      </c>
      <c r="V52" s="127">
        <v>0</v>
      </c>
      <c r="W52" s="127">
        <v>0</v>
      </c>
      <c r="X52" s="127">
        <v>0</v>
      </c>
      <c r="Y52" s="127">
        <v>0</v>
      </c>
      <c r="Z52" s="127">
        <v>155.55000000000001</v>
      </c>
      <c r="AA52" s="127">
        <v>342.03</v>
      </c>
      <c r="AB52" s="127">
        <v>342.96</v>
      </c>
      <c r="AC52" s="127">
        <v>342.03</v>
      </c>
      <c r="AD52" s="127">
        <v>342.03</v>
      </c>
      <c r="AE52" s="127">
        <v>185.4</v>
      </c>
      <c r="AF52" s="128">
        <v>0</v>
      </c>
      <c r="AG52" s="127">
        <v>0</v>
      </c>
      <c r="AH52" s="127"/>
      <c r="AI52" s="127"/>
      <c r="AJ52" s="127"/>
      <c r="AK52" s="127">
        <f>SUM(Z52:AE52)</f>
        <v>1710</v>
      </c>
      <c r="AL52" s="127">
        <f t="shared" si="28"/>
        <v>1710</v>
      </c>
    </row>
    <row r="53" spans="2:38" s="129" customFormat="1" ht="24.75">
      <c r="B53" s="165" t="s">
        <v>596</v>
      </c>
      <c r="C53" s="166" t="s">
        <v>114</v>
      </c>
      <c r="D53" s="167" t="s">
        <v>597</v>
      </c>
      <c r="E53" s="168" t="s">
        <v>175</v>
      </c>
      <c r="F53" s="168" t="s">
        <v>598</v>
      </c>
      <c r="G53" s="128">
        <v>4471.83</v>
      </c>
      <c r="H53" s="128">
        <f t="shared" ref="H53:H67" si="29">(G53*0.1)</f>
        <v>447.18299999999999</v>
      </c>
      <c r="I53" s="128">
        <f t="shared" ref="I53:I64" si="30">(G53*0.9)</f>
        <v>4024.6469999999999</v>
      </c>
      <c r="J53" s="128">
        <v>0</v>
      </c>
      <c r="K53" s="128">
        <v>0</v>
      </c>
      <c r="L53" s="128">
        <v>0</v>
      </c>
      <c r="M53" s="128">
        <v>0</v>
      </c>
      <c r="N53" s="128">
        <v>0</v>
      </c>
      <c r="O53" s="128">
        <v>0</v>
      </c>
      <c r="P53" s="128">
        <v>0</v>
      </c>
      <c r="Q53" s="128">
        <v>0</v>
      </c>
      <c r="R53" s="128">
        <v>0</v>
      </c>
      <c r="S53" s="128">
        <v>0</v>
      </c>
      <c r="T53" s="128">
        <v>0</v>
      </c>
      <c r="U53" s="128">
        <v>0</v>
      </c>
      <c r="V53" s="128">
        <v>0</v>
      </c>
      <c r="W53" s="128">
        <v>0</v>
      </c>
      <c r="X53" s="128">
        <v>0</v>
      </c>
      <c r="Y53" s="128">
        <v>0</v>
      </c>
      <c r="Z53" s="128">
        <v>0</v>
      </c>
      <c r="AA53" s="128">
        <v>286.19</v>
      </c>
      <c r="AB53" s="128">
        <v>807.11</v>
      </c>
      <c r="AC53" s="128">
        <v>804.91</v>
      </c>
      <c r="AD53" s="128">
        <v>804.91</v>
      </c>
      <c r="AE53" s="128">
        <v>804.91</v>
      </c>
      <c r="AF53" s="128">
        <v>516.62</v>
      </c>
      <c r="AG53" s="127">
        <v>0</v>
      </c>
      <c r="AH53" s="127"/>
      <c r="AI53" s="127"/>
      <c r="AJ53" s="127"/>
      <c r="AK53" s="128">
        <f t="shared" ref="AK53:AK58" si="31">SUM(AA53:AF53)</f>
        <v>4024.6499999999996</v>
      </c>
      <c r="AL53" s="128">
        <f t="shared" si="28"/>
        <v>4024.6499999999996</v>
      </c>
    </row>
    <row r="54" spans="2:38" s="129" customFormat="1" ht="24.75">
      <c r="B54" s="169" t="s">
        <v>596</v>
      </c>
      <c r="C54" s="166" t="s">
        <v>114</v>
      </c>
      <c r="D54" s="167" t="s">
        <v>599</v>
      </c>
      <c r="E54" s="170" t="s">
        <v>175</v>
      </c>
      <c r="F54" s="170" t="s">
        <v>600</v>
      </c>
      <c r="G54" s="150">
        <v>4471.83</v>
      </c>
      <c r="H54" s="150">
        <f t="shared" si="29"/>
        <v>447.18299999999999</v>
      </c>
      <c r="I54" s="150">
        <f t="shared" si="30"/>
        <v>4024.6469999999999</v>
      </c>
      <c r="J54" s="150">
        <v>0</v>
      </c>
      <c r="K54" s="150">
        <v>0</v>
      </c>
      <c r="L54" s="150">
        <v>0</v>
      </c>
      <c r="M54" s="150">
        <v>0</v>
      </c>
      <c r="N54" s="150">
        <v>0</v>
      </c>
      <c r="O54" s="150">
        <v>0</v>
      </c>
      <c r="P54" s="150">
        <v>0</v>
      </c>
      <c r="Q54" s="150">
        <v>0</v>
      </c>
      <c r="R54" s="150">
        <v>0</v>
      </c>
      <c r="S54" s="150">
        <v>0</v>
      </c>
      <c r="T54" s="150">
        <v>0</v>
      </c>
      <c r="U54" s="150">
        <v>0</v>
      </c>
      <c r="V54" s="150">
        <v>0</v>
      </c>
      <c r="W54" s="128">
        <v>0</v>
      </c>
      <c r="X54" s="150">
        <v>0</v>
      </c>
      <c r="Y54" s="128">
        <v>0</v>
      </c>
      <c r="Z54" s="128">
        <v>0</v>
      </c>
      <c r="AA54" s="128">
        <v>286.19</v>
      </c>
      <c r="AB54" s="128">
        <v>807.11</v>
      </c>
      <c r="AC54" s="128">
        <v>804.91</v>
      </c>
      <c r="AD54" s="128">
        <v>804.91</v>
      </c>
      <c r="AE54" s="128">
        <v>804.91</v>
      </c>
      <c r="AF54" s="128">
        <v>516.62</v>
      </c>
      <c r="AG54" s="127">
        <v>0</v>
      </c>
      <c r="AH54" s="127"/>
      <c r="AI54" s="127"/>
      <c r="AJ54" s="127"/>
      <c r="AK54" s="128">
        <f t="shared" si="31"/>
        <v>4024.6499999999996</v>
      </c>
      <c r="AL54" s="128">
        <f t="shared" si="28"/>
        <v>4024.6499999999996</v>
      </c>
    </row>
    <row r="55" spans="2:38" s="129" customFormat="1" ht="24.75">
      <c r="B55" s="165" t="s">
        <v>596</v>
      </c>
      <c r="C55" s="166" t="s">
        <v>114</v>
      </c>
      <c r="D55" s="167" t="s">
        <v>601</v>
      </c>
      <c r="E55" s="168" t="s">
        <v>105</v>
      </c>
      <c r="F55" s="168" t="s">
        <v>602</v>
      </c>
      <c r="G55" s="128">
        <v>4471.83</v>
      </c>
      <c r="H55" s="128">
        <f t="shared" si="29"/>
        <v>447.18299999999999</v>
      </c>
      <c r="I55" s="128">
        <f t="shared" si="30"/>
        <v>4024.6469999999999</v>
      </c>
      <c r="J55" s="128">
        <v>0</v>
      </c>
      <c r="K55" s="128">
        <v>0</v>
      </c>
      <c r="L55" s="128">
        <v>0</v>
      </c>
      <c r="M55" s="128">
        <v>0</v>
      </c>
      <c r="N55" s="128">
        <v>0</v>
      </c>
      <c r="O55" s="128">
        <v>0</v>
      </c>
      <c r="P55" s="128">
        <v>0</v>
      </c>
      <c r="Q55" s="128">
        <v>0</v>
      </c>
      <c r="R55" s="128">
        <v>0</v>
      </c>
      <c r="S55" s="128">
        <v>0</v>
      </c>
      <c r="T55" s="128">
        <v>0</v>
      </c>
      <c r="U55" s="128">
        <v>0</v>
      </c>
      <c r="V55" s="128">
        <v>0</v>
      </c>
      <c r="W55" s="128">
        <v>0</v>
      </c>
      <c r="X55" s="128">
        <v>0</v>
      </c>
      <c r="Y55" s="128">
        <v>0</v>
      </c>
      <c r="Z55" s="128">
        <v>0</v>
      </c>
      <c r="AA55" s="128">
        <v>286.19</v>
      </c>
      <c r="AB55" s="128">
        <v>807.11</v>
      </c>
      <c r="AC55" s="128">
        <v>804.91</v>
      </c>
      <c r="AD55" s="128">
        <v>804.91</v>
      </c>
      <c r="AE55" s="128">
        <v>804.91</v>
      </c>
      <c r="AF55" s="128">
        <v>516.62</v>
      </c>
      <c r="AG55" s="127">
        <v>0</v>
      </c>
      <c r="AH55" s="127"/>
      <c r="AI55" s="127"/>
      <c r="AJ55" s="127"/>
      <c r="AK55" s="128">
        <f t="shared" si="31"/>
        <v>4024.6499999999996</v>
      </c>
      <c r="AL55" s="128">
        <f t="shared" si="28"/>
        <v>4024.6499999999996</v>
      </c>
    </row>
    <row r="56" spans="2:38" s="129" customFormat="1" ht="24.75">
      <c r="B56" s="169" t="s">
        <v>596</v>
      </c>
      <c r="C56" s="166" t="s">
        <v>114</v>
      </c>
      <c r="D56" s="167" t="s">
        <v>603</v>
      </c>
      <c r="E56" s="168" t="s">
        <v>604</v>
      </c>
      <c r="F56" s="168" t="s">
        <v>605</v>
      </c>
      <c r="G56" s="128">
        <v>4471.82</v>
      </c>
      <c r="H56" s="128">
        <f t="shared" si="29"/>
        <v>447.18200000000002</v>
      </c>
      <c r="I56" s="128">
        <f t="shared" si="30"/>
        <v>4024.6379999999999</v>
      </c>
      <c r="J56" s="128">
        <v>0</v>
      </c>
      <c r="K56" s="128">
        <v>0</v>
      </c>
      <c r="L56" s="128">
        <v>0</v>
      </c>
      <c r="M56" s="128">
        <v>0</v>
      </c>
      <c r="N56" s="128">
        <v>0</v>
      </c>
      <c r="O56" s="128">
        <v>0</v>
      </c>
      <c r="P56" s="128">
        <v>0</v>
      </c>
      <c r="Q56" s="128">
        <v>0</v>
      </c>
      <c r="R56" s="128">
        <v>0</v>
      </c>
      <c r="S56" s="128">
        <v>0</v>
      </c>
      <c r="T56" s="128">
        <v>0</v>
      </c>
      <c r="U56" s="128">
        <v>0</v>
      </c>
      <c r="V56" s="128">
        <v>0</v>
      </c>
      <c r="W56" s="128">
        <v>0</v>
      </c>
      <c r="X56" s="128">
        <v>0</v>
      </c>
      <c r="Y56" s="128">
        <v>0</v>
      </c>
      <c r="Z56" s="128">
        <v>0</v>
      </c>
      <c r="AA56" s="128">
        <v>286.19</v>
      </c>
      <c r="AB56" s="128">
        <v>807.11</v>
      </c>
      <c r="AC56" s="128">
        <v>804.91</v>
      </c>
      <c r="AD56" s="128">
        <v>804.91</v>
      </c>
      <c r="AE56" s="128">
        <v>804.91</v>
      </c>
      <c r="AF56" s="128">
        <v>516.61</v>
      </c>
      <c r="AG56" s="127">
        <v>0</v>
      </c>
      <c r="AH56" s="127"/>
      <c r="AI56" s="127"/>
      <c r="AJ56" s="127"/>
      <c r="AK56" s="128">
        <f t="shared" si="31"/>
        <v>4024.64</v>
      </c>
      <c r="AL56" s="128">
        <f t="shared" si="28"/>
        <v>4024.64</v>
      </c>
    </row>
    <row r="57" spans="2:38" s="129" customFormat="1" ht="24.75">
      <c r="B57" s="165" t="s">
        <v>596</v>
      </c>
      <c r="C57" s="166" t="s">
        <v>114</v>
      </c>
      <c r="D57" s="167" t="s">
        <v>606</v>
      </c>
      <c r="E57" s="168" t="s">
        <v>209</v>
      </c>
      <c r="F57" s="168" t="s">
        <v>607</v>
      </c>
      <c r="G57" s="128">
        <v>4192.59</v>
      </c>
      <c r="H57" s="128">
        <f t="shared" si="29"/>
        <v>419.25900000000001</v>
      </c>
      <c r="I57" s="128">
        <f t="shared" si="30"/>
        <v>3773.3310000000001</v>
      </c>
      <c r="J57" s="128">
        <v>0</v>
      </c>
      <c r="K57" s="128">
        <v>0</v>
      </c>
      <c r="L57" s="128">
        <v>0</v>
      </c>
      <c r="M57" s="128">
        <v>0</v>
      </c>
      <c r="N57" s="128">
        <v>0</v>
      </c>
      <c r="O57" s="128">
        <v>0</v>
      </c>
      <c r="P57" s="128">
        <v>0</v>
      </c>
      <c r="Q57" s="128">
        <v>0</v>
      </c>
      <c r="R57" s="128">
        <v>0</v>
      </c>
      <c r="S57" s="128">
        <v>0</v>
      </c>
      <c r="T57" s="128">
        <v>0</v>
      </c>
      <c r="U57" s="128">
        <v>0</v>
      </c>
      <c r="V57" s="128">
        <v>0</v>
      </c>
      <c r="W57" s="128">
        <v>0</v>
      </c>
      <c r="X57" s="128">
        <v>0</v>
      </c>
      <c r="Y57" s="128">
        <v>0</v>
      </c>
      <c r="Z57" s="128">
        <v>0</v>
      </c>
      <c r="AA57" s="128">
        <v>268.32</v>
      </c>
      <c r="AB57" s="128">
        <v>756.71</v>
      </c>
      <c r="AC57" s="128">
        <v>754.64</v>
      </c>
      <c r="AD57" s="128">
        <v>754.64</v>
      </c>
      <c r="AE57" s="128">
        <v>754.64</v>
      </c>
      <c r="AF57" s="128">
        <v>484.38</v>
      </c>
      <c r="AG57" s="127">
        <v>0</v>
      </c>
      <c r="AH57" s="127"/>
      <c r="AI57" s="127"/>
      <c r="AJ57" s="127"/>
      <c r="AK57" s="128">
        <f t="shared" si="31"/>
        <v>3773.33</v>
      </c>
      <c r="AL57" s="128">
        <f t="shared" si="28"/>
        <v>3773.33</v>
      </c>
    </row>
    <row r="58" spans="2:38" s="129" customFormat="1" ht="24.75">
      <c r="B58" s="169" t="s">
        <v>596</v>
      </c>
      <c r="C58" s="166" t="s">
        <v>114</v>
      </c>
      <c r="D58" s="167" t="s">
        <v>608</v>
      </c>
      <c r="E58" s="170" t="s">
        <v>203</v>
      </c>
      <c r="F58" s="170" t="s">
        <v>609</v>
      </c>
      <c r="G58" s="150">
        <v>3498.07</v>
      </c>
      <c r="H58" s="150">
        <f t="shared" si="29"/>
        <v>349.80700000000002</v>
      </c>
      <c r="I58" s="150">
        <f t="shared" si="30"/>
        <v>3148.2630000000004</v>
      </c>
      <c r="J58" s="150">
        <v>0</v>
      </c>
      <c r="K58" s="150">
        <v>0</v>
      </c>
      <c r="L58" s="150">
        <v>0</v>
      </c>
      <c r="M58" s="150">
        <v>0</v>
      </c>
      <c r="N58" s="150">
        <v>0</v>
      </c>
      <c r="O58" s="150">
        <v>0</v>
      </c>
      <c r="P58" s="150">
        <v>0</v>
      </c>
      <c r="Q58" s="150">
        <v>0</v>
      </c>
      <c r="R58" s="150">
        <v>0</v>
      </c>
      <c r="S58" s="150">
        <v>0</v>
      </c>
      <c r="T58" s="150">
        <v>0</v>
      </c>
      <c r="U58" s="150">
        <v>0</v>
      </c>
      <c r="V58" s="150">
        <v>0</v>
      </c>
      <c r="W58" s="128">
        <v>0</v>
      </c>
      <c r="X58" s="150">
        <v>0</v>
      </c>
      <c r="Y58" s="128">
        <v>0</v>
      </c>
      <c r="Z58" s="128">
        <v>0</v>
      </c>
      <c r="AA58" s="128">
        <v>223.88</v>
      </c>
      <c r="AB58" s="128">
        <v>631.39</v>
      </c>
      <c r="AC58" s="128">
        <v>629.66</v>
      </c>
      <c r="AD58" s="128">
        <v>629.66</v>
      </c>
      <c r="AE58" s="128">
        <v>629.66</v>
      </c>
      <c r="AF58" s="128">
        <v>404.01</v>
      </c>
      <c r="AG58" s="127">
        <v>0</v>
      </c>
      <c r="AH58" s="127"/>
      <c r="AI58" s="127"/>
      <c r="AJ58" s="127"/>
      <c r="AK58" s="128">
        <f t="shared" si="31"/>
        <v>3148.2599999999993</v>
      </c>
      <c r="AL58" s="128">
        <f t="shared" si="28"/>
        <v>3148.2599999999993</v>
      </c>
    </row>
    <row r="59" spans="2:38" s="129" customFormat="1" ht="33">
      <c r="B59" s="171" t="s">
        <v>610</v>
      </c>
      <c r="C59" s="124" t="s">
        <v>114</v>
      </c>
      <c r="D59" s="125" t="s">
        <v>611</v>
      </c>
      <c r="E59" s="126" t="s">
        <v>353</v>
      </c>
      <c r="F59" s="126" t="s">
        <v>612</v>
      </c>
      <c r="G59" s="127">
        <v>4914.32</v>
      </c>
      <c r="H59" s="127">
        <f>(G59*0.1)</f>
        <v>491.43200000000002</v>
      </c>
      <c r="I59" s="128">
        <f>(G59*0.9)</f>
        <v>4422.8879999999999</v>
      </c>
      <c r="J59" s="127"/>
      <c r="K59" s="127"/>
      <c r="L59" s="127"/>
      <c r="M59" s="127"/>
      <c r="N59" s="127"/>
      <c r="O59" s="127"/>
      <c r="P59" s="127"/>
      <c r="Q59" s="127"/>
      <c r="R59" s="127"/>
      <c r="S59" s="127">
        <v>147.84</v>
      </c>
      <c r="T59" s="127">
        <v>884.61</v>
      </c>
      <c r="U59" s="127">
        <v>884.61</v>
      </c>
      <c r="V59" s="127">
        <v>884.61</v>
      </c>
      <c r="W59" s="127">
        <f t="shared" ref="W59" si="32">O59+P59+Q59+R59+S59+T59+U59+V59</f>
        <v>2801.67</v>
      </c>
      <c r="X59" s="127">
        <f t="shared" ref="X59" si="33">ROUND((I59/5/365*31),2)</f>
        <v>75.13</v>
      </c>
      <c r="Y59" s="127">
        <f t="shared" ref="Y59" si="34">ROUND((I59/5/365*29),2)</f>
        <v>70.28</v>
      </c>
      <c r="Z59" s="154">
        <f t="shared" ref="Z59" si="35">ROUND((I59/5/365*31),2)</f>
        <v>75.13</v>
      </c>
      <c r="AA59" s="154">
        <f t="shared" ref="AA59" si="36">ROUND((I59/5/365*30),2)</f>
        <v>72.709999999999994</v>
      </c>
      <c r="AB59" s="154">
        <f t="shared" ref="AB59" si="37">ROUND((I59/5/365*31),2)</f>
        <v>75.13</v>
      </c>
      <c r="AC59" s="154">
        <f t="shared" ref="AC59" si="38">ROUND((I59/5/365*30),2)</f>
        <v>72.709999999999994</v>
      </c>
      <c r="AD59" s="154">
        <f t="shared" ref="AD59" si="39">ROUND((I59/5/365*31),2)</f>
        <v>75.13</v>
      </c>
      <c r="AE59" s="154">
        <f t="shared" ref="AE59" si="40">ROUND((I59/5/365*31),2)</f>
        <v>75.13</v>
      </c>
      <c r="AF59" s="128">
        <f>ROUND((I59/5/365*30),2)</f>
        <v>72.709999999999994</v>
      </c>
      <c r="AG59" s="154">
        <f t="shared" ref="AG59" si="41">ROUND((I59/5/365*31),2)</f>
        <v>75.13</v>
      </c>
      <c r="AH59" s="154"/>
      <c r="AI59" s="154"/>
      <c r="AJ59" s="154"/>
      <c r="AK59" s="154">
        <v>4422.8900000000003</v>
      </c>
      <c r="AL59" s="154">
        <v>4422.8900000000003</v>
      </c>
    </row>
    <row r="60" spans="2:38" s="129" customFormat="1" ht="33">
      <c r="B60" s="138" t="s">
        <v>610</v>
      </c>
      <c r="C60" s="166" t="s">
        <v>114</v>
      </c>
      <c r="D60" s="167" t="s">
        <v>613</v>
      </c>
      <c r="E60" s="126" t="s">
        <v>614</v>
      </c>
      <c r="F60" s="126" t="s">
        <v>615</v>
      </c>
      <c r="G60" s="127">
        <v>5003.74</v>
      </c>
      <c r="H60" s="127">
        <f t="shared" si="29"/>
        <v>500.37400000000002</v>
      </c>
      <c r="I60" s="128">
        <f t="shared" si="30"/>
        <v>4503.366</v>
      </c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28"/>
      <c r="X60" s="150"/>
      <c r="Y60" s="128"/>
      <c r="Z60" s="128"/>
      <c r="AA60" s="128"/>
      <c r="AB60" s="127">
        <v>900.71</v>
      </c>
      <c r="AC60" s="127">
        <v>900.71</v>
      </c>
      <c r="AD60" s="127">
        <v>900.71</v>
      </c>
      <c r="AE60" s="127">
        <v>900.71</v>
      </c>
      <c r="AF60" s="128">
        <v>903.18</v>
      </c>
      <c r="AG60" s="127">
        <v>73.849999999999994</v>
      </c>
      <c r="AH60" s="127"/>
      <c r="AI60" s="127"/>
      <c r="AJ60" s="127"/>
      <c r="AK60" s="128">
        <v>4503.37</v>
      </c>
      <c r="AL60" s="128">
        <f t="shared" si="28"/>
        <v>4503.37</v>
      </c>
    </row>
    <row r="61" spans="2:38" s="129" customFormat="1" ht="33">
      <c r="B61" s="138" t="s">
        <v>610</v>
      </c>
      <c r="C61" s="166" t="s">
        <v>114</v>
      </c>
      <c r="D61" s="167" t="s">
        <v>616</v>
      </c>
      <c r="E61" s="126" t="s">
        <v>94</v>
      </c>
      <c r="F61" s="126" t="s">
        <v>617</v>
      </c>
      <c r="G61" s="127">
        <v>5022.72</v>
      </c>
      <c r="H61" s="127">
        <f t="shared" si="29"/>
        <v>502.27200000000005</v>
      </c>
      <c r="I61" s="128">
        <f t="shared" si="30"/>
        <v>4520.4480000000003</v>
      </c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28"/>
      <c r="X61" s="150"/>
      <c r="Y61" s="128"/>
      <c r="Z61" s="128"/>
      <c r="AA61" s="128"/>
      <c r="AB61" s="127">
        <v>904.12</v>
      </c>
      <c r="AC61" s="127">
        <v>904.12</v>
      </c>
      <c r="AD61" s="127">
        <v>904.12</v>
      </c>
      <c r="AE61" s="127">
        <v>904.12</v>
      </c>
      <c r="AF61" s="128">
        <v>906.6</v>
      </c>
      <c r="AG61" s="127">
        <v>74.16</v>
      </c>
      <c r="AH61" s="127"/>
      <c r="AI61" s="127"/>
      <c r="AJ61" s="127"/>
      <c r="AK61" s="128">
        <v>4520.45</v>
      </c>
      <c r="AL61" s="128">
        <f t="shared" si="28"/>
        <v>4520.45</v>
      </c>
    </row>
    <row r="62" spans="2:38" s="129" customFormat="1" ht="33">
      <c r="B62" s="138" t="s">
        <v>610</v>
      </c>
      <c r="C62" s="166" t="s">
        <v>114</v>
      </c>
      <c r="D62" s="167" t="s">
        <v>618</v>
      </c>
      <c r="E62" s="126" t="s">
        <v>200</v>
      </c>
      <c r="F62" s="126" t="s">
        <v>619</v>
      </c>
      <c r="G62" s="127">
        <v>5096.13</v>
      </c>
      <c r="H62" s="127">
        <f t="shared" si="29"/>
        <v>509.61300000000006</v>
      </c>
      <c r="I62" s="128">
        <f t="shared" si="30"/>
        <v>4586.5169999999998</v>
      </c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28"/>
      <c r="X62" s="150"/>
      <c r="Y62" s="128"/>
      <c r="Z62" s="128"/>
      <c r="AA62" s="128"/>
      <c r="AB62" s="127">
        <v>917.3</v>
      </c>
      <c r="AC62" s="127">
        <v>917.3</v>
      </c>
      <c r="AD62" s="127">
        <v>917.3</v>
      </c>
      <c r="AE62" s="127">
        <v>917.3</v>
      </c>
      <c r="AF62" s="128">
        <v>919.81</v>
      </c>
      <c r="AG62" s="127">
        <v>75.42</v>
      </c>
      <c r="AH62" s="127"/>
      <c r="AI62" s="127"/>
      <c r="AJ62" s="127"/>
      <c r="AK62" s="128">
        <v>4586.5200000000004</v>
      </c>
      <c r="AL62" s="128">
        <f t="shared" si="28"/>
        <v>4586.5200000000004</v>
      </c>
    </row>
    <row r="63" spans="2:38" s="129" customFormat="1" ht="33">
      <c r="B63" s="138" t="s">
        <v>610</v>
      </c>
      <c r="C63" s="166" t="s">
        <v>114</v>
      </c>
      <c r="D63" s="167" t="s">
        <v>620</v>
      </c>
      <c r="E63" s="126" t="s">
        <v>94</v>
      </c>
      <c r="F63" s="126" t="s">
        <v>621</v>
      </c>
      <c r="G63" s="127">
        <v>4933.8900000000003</v>
      </c>
      <c r="H63" s="127">
        <f t="shared" si="29"/>
        <v>493.38900000000007</v>
      </c>
      <c r="I63" s="128">
        <f t="shared" si="30"/>
        <v>4440.5010000000002</v>
      </c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28"/>
      <c r="X63" s="150"/>
      <c r="Y63" s="128"/>
      <c r="Z63" s="128"/>
      <c r="AA63" s="128"/>
      <c r="AB63" s="127">
        <v>888.1</v>
      </c>
      <c r="AC63" s="127">
        <v>888.1</v>
      </c>
      <c r="AD63" s="127">
        <v>888.1</v>
      </c>
      <c r="AE63" s="127">
        <v>888.1</v>
      </c>
      <c r="AF63" s="128">
        <v>890.55</v>
      </c>
      <c r="AG63" s="127">
        <v>73</v>
      </c>
      <c r="AH63" s="127"/>
      <c r="AI63" s="127"/>
      <c r="AJ63" s="127"/>
      <c r="AK63" s="128">
        <v>4440.5</v>
      </c>
      <c r="AL63" s="128">
        <f t="shared" si="28"/>
        <v>4440.5</v>
      </c>
    </row>
    <row r="64" spans="2:38" s="129" customFormat="1" ht="33">
      <c r="B64" s="138" t="s">
        <v>610</v>
      </c>
      <c r="C64" s="166" t="s">
        <v>114</v>
      </c>
      <c r="D64" s="167" t="s">
        <v>622</v>
      </c>
      <c r="E64" s="126" t="s">
        <v>231</v>
      </c>
      <c r="F64" s="126" t="s">
        <v>232</v>
      </c>
      <c r="G64" s="127">
        <v>5822.94</v>
      </c>
      <c r="H64" s="127">
        <f t="shared" si="29"/>
        <v>582.29399999999998</v>
      </c>
      <c r="I64" s="128">
        <f t="shared" si="30"/>
        <v>5240.6459999999997</v>
      </c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28"/>
      <c r="X64" s="150"/>
      <c r="Y64" s="128"/>
      <c r="Z64" s="128"/>
      <c r="AA64" s="128"/>
      <c r="AB64" s="127">
        <v>1048.1400000000001</v>
      </c>
      <c r="AC64" s="127">
        <v>1048.1400000000001</v>
      </c>
      <c r="AD64" s="127">
        <v>1048.1400000000001</v>
      </c>
      <c r="AE64" s="127">
        <v>1048.1400000000001</v>
      </c>
      <c r="AF64" s="128">
        <v>1051.02</v>
      </c>
      <c r="AG64" s="127">
        <v>86.09</v>
      </c>
      <c r="AH64" s="127"/>
      <c r="AI64" s="127"/>
      <c r="AJ64" s="127"/>
      <c r="AK64" s="128">
        <v>5240.6499999999996</v>
      </c>
      <c r="AL64" s="128">
        <f t="shared" si="28"/>
        <v>5240.6499999999996</v>
      </c>
    </row>
    <row r="65" spans="2:122" s="129" customFormat="1" ht="33">
      <c r="B65" s="138" t="s">
        <v>623</v>
      </c>
      <c r="C65" s="124" t="s">
        <v>114</v>
      </c>
      <c r="D65" s="125" t="s">
        <v>624</v>
      </c>
      <c r="E65" s="126" t="s">
        <v>98</v>
      </c>
      <c r="F65" s="126" t="s">
        <v>625</v>
      </c>
      <c r="G65" s="127">
        <v>4816.1000000000004</v>
      </c>
      <c r="H65" s="127">
        <f t="shared" si="29"/>
        <v>481.61000000000007</v>
      </c>
      <c r="I65" s="128">
        <f>(G65*0.9)</f>
        <v>4334.4900000000007</v>
      </c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28"/>
      <c r="X65" s="150"/>
      <c r="Y65" s="128"/>
      <c r="Z65" s="128"/>
      <c r="AA65" s="128"/>
      <c r="AB65" s="127"/>
      <c r="AC65" s="127">
        <v>182.88</v>
      </c>
      <c r="AD65" s="127">
        <v>866.91</v>
      </c>
      <c r="AE65" s="127">
        <v>866.91</v>
      </c>
      <c r="AF65" s="128">
        <v>869.29</v>
      </c>
      <c r="AG65" s="128">
        <v>866.91</v>
      </c>
      <c r="AH65" s="127">
        <v>681.59</v>
      </c>
      <c r="AI65" s="127"/>
      <c r="AJ65" s="127"/>
      <c r="AK65" s="154">
        <f>SUM(AC65:AH65)</f>
        <v>4334.49</v>
      </c>
      <c r="AL65" s="128">
        <f t="shared" si="28"/>
        <v>4334.49</v>
      </c>
    </row>
    <row r="66" spans="2:122" s="129" customFormat="1" ht="33">
      <c r="B66" s="138" t="s">
        <v>623</v>
      </c>
      <c r="C66" s="124" t="s">
        <v>114</v>
      </c>
      <c r="D66" s="125" t="s">
        <v>626</v>
      </c>
      <c r="E66" s="126" t="s">
        <v>98</v>
      </c>
      <c r="F66" s="126" t="s">
        <v>627</v>
      </c>
      <c r="G66" s="127">
        <v>4462.34</v>
      </c>
      <c r="H66" s="127">
        <f t="shared" si="29"/>
        <v>446.23400000000004</v>
      </c>
      <c r="I66" s="128">
        <f>(G66*0.9)</f>
        <v>4016.1060000000002</v>
      </c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28"/>
      <c r="X66" s="150"/>
      <c r="Y66" s="128"/>
      <c r="Z66" s="128"/>
      <c r="AA66" s="128"/>
      <c r="AB66" s="127"/>
      <c r="AC66" s="127">
        <v>169.45</v>
      </c>
      <c r="AD66" s="127">
        <v>803.24</v>
      </c>
      <c r="AE66" s="127">
        <v>803.24</v>
      </c>
      <c r="AF66" s="128">
        <v>805.44</v>
      </c>
      <c r="AG66" s="128">
        <v>803.24</v>
      </c>
      <c r="AH66" s="127">
        <v>631.5</v>
      </c>
      <c r="AI66" s="127"/>
      <c r="AJ66" s="127"/>
      <c r="AK66" s="154">
        <f>SUM(AC66:AH66)</f>
        <v>4016.1099999999997</v>
      </c>
      <c r="AL66" s="128">
        <f t="shared" si="28"/>
        <v>4016.1099999999997</v>
      </c>
    </row>
    <row r="67" spans="2:122" s="129" customFormat="1" ht="33">
      <c r="B67" s="138" t="s">
        <v>623</v>
      </c>
      <c r="C67" s="124" t="s">
        <v>114</v>
      </c>
      <c r="D67" s="125" t="s">
        <v>628</v>
      </c>
      <c r="E67" s="126" t="s">
        <v>216</v>
      </c>
      <c r="F67" s="126" t="s">
        <v>629</v>
      </c>
      <c r="G67" s="127">
        <v>4698.79</v>
      </c>
      <c r="H67" s="127">
        <f t="shared" si="29"/>
        <v>469.87900000000002</v>
      </c>
      <c r="I67" s="128">
        <f>(G67*0.9)</f>
        <v>4228.9110000000001</v>
      </c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28"/>
      <c r="X67" s="150"/>
      <c r="Y67" s="128"/>
      <c r="Z67" s="128"/>
      <c r="AA67" s="128"/>
      <c r="AB67" s="127"/>
      <c r="AC67" s="127">
        <v>178.43</v>
      </c>
      <c r="AD67" s="127">
        <v>845.77</v>
      </c>
      <c r="AE67" s="127">
        <v>845.77</v>
      </c>
      <c r="AF67" s="128">
        <v>848.09</v>
      </c>
      <c r="AG67" s="128">
        <v>845.77</v>
      </c>
      <c r="AH67" s="127">
        <v>665.08</v>
      </c>
      <c r="AI67" s="127"/>
      <c r="AJ67" s="127"/>
      <c r="AK67" s="154">
        <f>SUM(AC67:AH67)</f>
        <v>4228.91</v>
      </c>
      <c r="AL67" s="128">
        <f>SUM(AK67)</f>
        <v>4228.91</v>
      </c>
    </row>
    <row r="68" spans="2:122" s="129" customFormat="1" ht="34.5" customHeight="1">
      <c r="B68" s="155">
        <v>40534</v>
      </c>
      <c r="C68" s="124" t="s">
        <v>114</v>
      </c>
      <c r="D68" s="152" t="s">
        <v>630</v>
      </c>
      <c r="E68" s="153" t="s">
        <v>121</v>
      </c>
      <c r="F68" s="153" t="s">
        <v>631</v>
      </c>
      <c r="G68" s="127">
        <v>5100</v>
      </c>
      <c r="H68" s="127">
        <f>(G68*0.1)</f>
        <v>510</v>
      </c>
      <c r="I68" s="128">
        <f>(G68*0.9)</f>
        <v>4590</v>
      </c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28"/>
      <c r="X68" s="150"/>
      <c r="Y68" s="128"/>
      <c r="Z68" s="128"/>
      <c r="AA68" s="128"/>
      <c r="AB68" s="127"/>
      <c r="AC68" s="127"/>
      <c r="AD68" s="127"/>
      <c r="AE68" s="127"/>
      <c r="AF68" s="128"/>
      <c r="AG68" s="128"/>
      <c r="AH68" s="127"/>
      <c r="AI68" s="127"/>
      <c r="AJ68" s="127"/>
      <c r="AK68" s="127">
        <v>4590</v>
      </c>
      <c r="AL68" s="128">
        <f t="shared" ref="AL68:AL69" si="42">ROUND((I68+J68+K68+L68+M68+N68+O68+P68+Q68+R68+S68+T68+U68),2)</f>
        <v>4590</v>
      </c>
    </row>
    <row r="69" spans="2:122" s="129" customFormat="1" ht="34.5" customHeight="1">
      <c r="B69" s="155">
        <v>40534</v>
      </c>
      <c r="C69" s="124" t="s">
        <v>114</v>
      </c>
      <c r="D69" s="152" t="s">
        <v>632</v>
      </c>
      <c r="E69" s="153" t="s">
        <v>121</v>
      </c>
      <c r="F69" s="153" t="s">
        <v>633</v>
      </c>
      <c r="G69" s="127">
        <v>5100</v>
      </c>
      <c r="H69" s="127">
        <f t="shared" ref="H69:H90" si="43">(G69*0.1)</f>
        <v>510</v>
      </c>
      <c r="I69" s="128">
        <f t="shared" ref="I69:I90" si="44">(G69*0.9)</f>
        <v>4590</v>
      </c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28"/>
      <c r="X69" s="150"/>
      <c r="Y69" s="128"/>
      <c r="Z69" s="128"/>
      <c r="AA69" s="128"/>
      <c r="AB69" s="127"/>
      <c r="AC69" s="127"/>
      <c r="AD69" s="127"/>
      <c r="AE69" s="127"/>
      <c r="AF69" s="128"/>
      <c r="AG69" s="128"/>
      <c r="AH69" s="127"/>
      <c r="AI69" s="127"/>
      <c r="AJ69" s="127"/>
      <c r="AK69" s="127">
        <v>4590</v>
      </c>
      <c r="AL69" s="128">
        <f t="shared" si="42"/>
        <v>4590</v>
      </c>
    </row>
    <row r="70" spans="2:122" s="129" customFormat="1" ht="12" customHeight="1">
      <c r="B70" s="156">
        <v>40767</v>
      </c>
      <c r="C70" s="157" t="s">
        <v>634</v>
      </c>
      <c r="D70" s="158" t="s">
        <v>635</v>
      </c>
      <c r="E70" s="159" t="s">
        <v>105</v>
      </c>
      <c r="F70" s="159" t="s">
        <v>636</v>
      </c>
      <c r="G70" s="128">
        <v>680</v>
      </c>
      <c r="H70" s="128">
        <f t="shared" si="43"/>
        <v>68</v>
      </c>
      <c r="I70" s="128">
        <f t="shared" si="44"/>
        <v>612</v>
      </c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>
        <v>47.29</v>
      </c>
      <c r="W70" s="128">
        <f t="shared" ref="W70" si="45">O70+P70+Q70+R70+S70+T70+U70+V70</f>
        <v>47.29</v>
      </c>
      <c r="X70" s="128">
        <f t="shared" ref="X70" si="46">ROUND((I70/5/365*31),2)</f>
        <v>10.4</v>
      </c>
      <c r="Y70" s="128">
        <f t="shared" ref="Y70" si="47">ROUND((I70/5/365*29),2)</f>
        <v>9.7200000000000006</v>
      </c>
      <c r="Z70" s="128">
        <f t="shared" ref="Z70" si="48">ROUND((I70/5/365*31),2)</f>
        <v>10.4</v>
      </c>
      <c r="AA70" s="128">
        <f t="shared" ref="AA70" si="49">ROUND((I70/5/365*30),2)</f>
        <v>10.06</v>
      </c>
      <c r="AB70" s="128">
        <f t="shared" ref="AB70" si="50">ROUND((I70/5/365*31),2)</f>
        <v>10.4</v>
      </c>
      <c r="AC70" s="128">
        <f t="shared" ref="AC70" si="51">ROUND((I70/5/365*30),2)</f>
        <v>10.06</v>
      </c>
      <c r="AD70" s="128">
        <f t="shared" ref="AD70" si="52">ROUND((I70/5/365*31),2)</f>
        <v>10.4</v>
      </c>
      <c r="AE70" s="128">
        <f t="shared" ref="AE70" si="53">ROUND((I70/5/365*31),2)</f>
        <v>10.4</v>
      </c>
      <c r="AF70" s="128">
        <f t="shared" ref="AF70" si="54">ROUND((I70/5/365*30),2)</f>
        <v>10.06</v>
      </c>
      <c r="AG70" s="128">
        <f t="shared" ref="AG70" si="55">ROUND((I70/5/365*31),2)</f>
        <v>10.4</v>
      </c>
      <c r="AH70" s="128">
        <f t="shared" ref="AH70" si="56">ROUND((I70/5/365*30),2)</f>
        <v>10.06</v>
      </c>
      <c r="AI70" s="128">
        <f t="shared" ref="AI70" si="57">ROUND((I70/5/365*31),2)</f>
        <v>10.4</v>
      </c>
      <c r="AJ70" s="128"/>
      <c r="AK70" s="128">
        <v>612</v>
      </c>
      <c r="AL70" s="128">
        <v>612</v>
      </c>
    </row>
    <row r="71" spans="2:122" s="129" customFormat="1" ht="15" customHeight="1">
      <c r="B71" s="156">
        <v>40767</v>
      </c>
      <c r="C71" s="157" t="s">
        <v>634</v>
      </c>
      <c r="D71" s="158" t="s">
        <v>637</v>
      </c>
      <c r="E71" s="159" t="s">
        <v>175</v>
      </c>
      <c r="F71" s="159" t="s">
        <v>638</v>
      </c>
      <c r="G71" s="128">
        <v>680</v>
      </c>
      <c r="H71" s="128">
        <f t="shared" si="43"/>
        <v>68</v>
      </c>
      <c r="I71" s="128">
        <f t="shared" si="44"/>
        <v>612</v>
      </c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>
        <v>47.29</v>
      </c>
      <c r="W71" s="128">
        <f>O71+P71+Q71+R71+S71+T71+U71+V71</f>
        <v>47.29</v>
      </c>
      <c r="X71" s="128">
        <f>ROUND((I71/5/365*31),2)</f>
        <v>10.4</v>
      </c>
      <c r="Y71" s="128">
        <f>ROUND((I71/5/365*29),2)</f>
        <v>9.7200000000000006</v>
      </c>
      <c r="Z71" s="128">
        <f>ROUND((I71/5/365*31),2)</f>
        <v>10.4</v>
      </c>
      <c r="AA71" s="128">
        <f>ROUND((I71/5/365*30),2)</f>
        <v>10.06</v>
      </c>
      <c r="AB71" s="128">
        <f>ROUND((I71/5/365*31),2)</f>
        <v>10.4</v>
      </c>
      <c r="AC71" s="128">
        <f>ROUND((I71/5/365*30),2)</f>
        <v>10.06</v>
      </c>
      <c r="AD71" s="128">
        <f>ROUND((I71/5/365*31),2)</f>
        <v>10.4</v>
      </c>
      <c r="AE71" s="128">
        <f>ROUND((I71/5/365*31),2)</f>
        <v>10.4</v>
      </c>
      <c r="AF71" s="128">
        <f>ROUND((I71/5/365*30),2)</f>
        <v>10.06</v>
      </c>
      <c r="AG71" s="128">
        <f>ROUND((I71/5/365*31),2)</f>
        <v>10.4</v>
      </c>
      <c r="AH71" s="128">
        <f>ROUND((I71/5/365*30),2)</f>
        <v>10.06</v>
      </c>
      <c r="AI71" s="128">
        <f>ROUND((I71/5/365*31),2)</f>
        <v>10.4</v>
      </c>
      <c r="AJ71" s="128"/>
      <c r="AK71" s="128">
        <v>612</v>
      </c>
      <c r="AL71" s="128">
        <v>612</v>
      </c>
    </row>
    <row r="72" spans="2:122" s="129" customFormat="1" ht="18" customHeight="1">
      <c r="B72" s="156">
        <v>40836</v>
      </c>
      <c r="C72" s="157" t="s">
        <v>128</v>
      </c>
      <c r="D72" s="158" t="s">
        <v>639</v>
      </c>
      <c r="E72" s="159" t="s">
        <v>98</v>
      </c>
      <c r="F72" s="159" t="s">
        <v>640</v>
      </c>
      <c r="G72" s="128">
        <v>1299</v>
      </c>
      <c r="H72" s="128">
        <f t="shared" si="43"/>
        <v>129.9</v>
      </c>
      <c r="I72" s="128">
        <f t="shared" si="44"/>
        <v>1169.1000000000001</v>
      </c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73"/>
      <c r="AG72" s="172"/>
      <c r="AH72" s="172"/>
      <c r="AI72" s="172"/>
      <c r="AJ72" s="172"/>
      <c r="AK72" s="127">
        <v>1169.0999999999999</v>
      </c>
      <c r="AL72" s="128">
        <f>ROUND((I72+J72+K72+L72+M72+N72+O72+P72+Q72+R72+S72+T72+U72),2)</f>
        <v>1169.0999999999999</v>
      </c>
    </row>
    <row r="73" spans="2:122" s="129" customFormat="1" ht="42.75" customHeight="1">
      <c r="B73" s="156">
        <v>40907</v>
      </c>
      <c r="C73" s="157" t="s">
        <v>641</v>
      </c>
      <c r="D73" s="158" t="s">
        <v>642</v>
      </c>
      <c r="E73" s="159" t="s">
        <v>121</v>
      </c>
      <c r="F73" s="159" t="s">
        <v>643</v>
      </c>
      <c r="G73" s="128">
        <v>10354.74</v>
      </c>
      <c r="H73" s="128">
        <f t="shared" si="43"/>
        <v>1035.4739999999999</v>
      </c>
      <c r="I73" s="128">
        <f t="shared" si="44"/>
        <v>9319.2659999999996</v>
      </c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>
        <v>5.1100000000000003</v>
      </c>
      <c r="W73" s="128">
        <f t="shared" ref="W73:W90" si="58">O73+P73+Q73+R73+S73+T73+U73+V73</f>
        <v>5.1100000000000003</v>
      </c>
      <c r="X73" s="128">
        <f>ROUND((I73/5/365*31),2)</f>
        <v>158.30000000000001</v>
      </c>
      <c r="Y73" s="128">
        <f>ROUND((I73/5/365*29),2)</f>
        <v>148.09</v>
      </c>
      <c r="Z73" s="128">
        <f>ROUND((I73/5/365*31),2)</f>
        <v>158.30000000000001</v>
      </c>
      <c r="AA73" s="128">
        <f>ROUND((I73/5/365*30),2)</f>
        <v>153.19</v>
      </c>
      <c r="AB73" s="128">
        <f>ROUND((I73/5/365*31),2)</f>
        <v>158.30000000000001</v>
      </c>
      <c r="AC73" s="128">
        <f>ROUND((I73/5/365*30),2)</f>
        <v>153.19</v>
      </c>
      <c r="AD73" s="128">
        <f>ROUND((I73/5/365*31),2)</f>
        <v>158.30000000000001</v>
      </c>
      <c r="AE73" s="128">
        <f>ROUND((I73/5/365*31),2)</f>
        <v>158.30000000000001</v>
      </c>
      <c r="AF73" s="128">
        <f>ROUND((I73/5/365*30),2)</f>
        <v>153.19</v>
      </c>
      <c r="AG73" s="128">
        <f>ROUND((I73/5/365*31),2)</f>
        <v>158.30000000000001</v>
      </c>
      <c r="AH73" s="128">
        <f>ROUND((I73/5/365*30),2)</f>
        <v>153.19</v>
      </c>
      <c r="AI73" s="128">
        <f>ROUND((I73/5/365*31),2)</f>
        <v>158.30000000000001</v>
      </c>
      <c r="AJ73" s="128"/>
      <c r="AK73" s="127">
        <v>9319.27</v>
      </c>
      <c r="AL73" s="128">
        <v>9319.27</v>
      </c>
    </row>
    <row r="74" spans="2:122" s="129" customFormat="1" ht="27.75" customHeight="1">
      <c r="B74" s="174">
        <v>41257</v>
      </c>
      <c r="C74" s="36" t="s">
        <v>114</v>
      </c>
      <c r="D74" s="45" t="s">
        <v>644</v>
      </c>
      <c r="E74" s="22" t="s">
        <v>319</v>
      </c>
      <c r="F74" s="22" t="s">
        <v>645</v>
      </c>
      <c r="G74" s="86">
        <v>2100</v>
      </c>
      <c r="H74" s="86">
        <f t="shared" si="43"/>
        <v>210</v>
      </c>
      <c r="I74" s="86">
        <f t="shared" si="44"/>
        <v>1890</v>
      </c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>
        <f t="shared" si="58"/>
        <v>0</v>
      </c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>
        <f>ROUND((I74/5/365*17),2)</f>
        <v>17.61</v>
      </c>
      <c r="AJ74" s="86">
        <f t="shared" ref="AJ74:AJ90" si="59">SUM(X74:AI74)</f>
        <v>17.61</v>
      </c>
      <c r="AK74" s="86">
        <v>1890</v>
      </c>
      <c r="AL74" s="128">
        <v>1890</v>
      </c>
      <c r="AM74" s="175">
        <f t="shared" ref="AM74:AM90" si="60">ROUND((I74/5/365*28),2)</f>
        <v>29</v>
      </c>
      <c r="AN74" s="175">
        <f t="shared" ref="AN74:AN90" si="61">ROUND((I74/5/365*31),2)</f>
        <v>32.1</v>
      </c>
      <c r="AO74" s="175">
        <f t="shared" ref="AO74:AO90" si="62">ROUND((I74/5/365*30),2)</f>
        <v>31.07</v>
      </c>
      <c r="AP74" s="175">
        <f t="shared" ref="AP74:AP90" si="63">ROUND((I74/5/365*31),2)</f>
        <v>32.1</v>
      </c>
      <c r="AQ74" s="175">
        <f t="shared" ref="AQ74:AQ90" si="64">ROUND((I74/5/365*30),2)</f>
        <v>31.07</v>
      </c>
      <c r="AR74" s="175">
        <f t="shared" ref="AR74:AR90" si="65">ROUND((I74/5/365*31),2)</f>
        <v>32.1</v>
      </c>
      <c r="AS74" s="175">
        <f t="shared" ref="AS74:AS90" si="66">ROUND((I74/5/365*31),2)</f>
        <v>32.1</v>
      </c>
      <c r="AT74" s="175">
        <f t="shared" ref="AT74:AT90" si="67">ROUND((I74/5/365*30),2)</f>
        <v>31.07</v>
      </c>
      <c r="AU74" s="175">
        <f t="shared" ref="AU74:AU90" si="68">ROUND((I74/5/365*31),2)</f>
        <v>32.1</v>
      </c>
      <c r="AV74" s="175">
        <f t="shared" ref="AV74:AV90" si="69">ROUND((I74/5/365*30),2)</f>
        <v>31.07</v>
      </c>
      <c r="AW74" s="175">
        <f t="shared" ref="AW74:AW90" si="70">ROUND((I74/5/365*31),2)</f>
        <v>32.1</v>
      </c>
      <c r="AX74" s="175">
        <f t="shared" ref="AX74:AX90" si="71">SUM(AL74:AW74)</f>
        <v>2235.8799999999997</v>
      </c>
      <c r="AY74" s="175">
        <f t="shared" ref="AY74:AY90" si="72">ROUND((AK74+AL74+AM74+AN74+AO74+AP74+AQ74+AR74+AS74+AT74+AU74+AV74+AW74),2)</f>
        <v>4125.88</v>
      </c>
      <c r="AZ74" s="175">
        <f t="shared" ref="AZ74:AZ90" si="73">ROUND((I74/5/365*31),2)</f>
        <v>32.1</v>
      </c>
      <c r="BA74" s="175">
        <f t="shared" ref="BA74:BA90" si="74">ROUND((I74/5/365*28),2)</f>
        <v>29</v>
      </c>
      <c r="BB74" s="175">
        <f t="shared" ref="BB74:BB90" si="75">ROUND((I74/5/365*31),2)</f>
        <v>32.1</v>
      </c>
      <c r="BC74" s="175">
        <f t="shared" ref="BC74:BC90" si="76">ROUND((I74/5/365*30),2)</f>
        <v>31.07</v>
      </c>
      <c r="BD74" s="175">
        <f t="shared" ref="BD74:BD90" si="77">ROUND((I74/5/365*31),2)</f>
        <v>32.1</v>
      </c>
      <c r="BE74" s="175">
        <f t="shared" ref="BE74:BE90" si="78">ROUND((I74/5/365*30),2)</f>
        <v>31.07</v>
      </c>
      <c r="BF74" s="175">
        <f t="shared" ref="BF74:BF90" si="79">ROUND((I74/5/365*31),2)</f>
        <v>32.1</v>
      </c>
      <c r="BG74" s="175">
        <f t="shared" ref="BG74:BG90" si="80">ROUND((I74/5/365*31),2)</f>
        <v>32.1</v>
      </c>
      <c r="BH74" s="175">
        <f t="shared" ref="BH74:BH90" si="81">ROUND((I74/5/365*30),2)</f>
        <v>31.07</v>
      </c>
      <c r="BI74" s="175">
        <f t="shared" ref="BI74:BI90" si="82">ROUND((I74/5/365*31),2)</f>
        <v>32.1</v>
      </c>
      <c r="BJ74" s="175">
        <f t="shared" ref="BJ74:BJ90" si="83">ROUND((I74/5/365*30),2)</f>
        <v>31.07</v>
      </c>
      <c r="BK74" s="175">
        <f t="shared" ref="BK74:BK90" si="84">ROUND((I74/5/365*31),2)</f>
        <v>32.1</v>
      </c>
      <c r="BL74" s="175">
        <f t="shared" ref="BL74:BL90" si="85">SUM(AZ74:BK74)</f>
        <v>377.98</v>
      </c>
      <c r="BM74" s="175">
        <f t="shared" ref="BM74:BM90" si="86">ROUND((AY74+BL74),2)</f>
        <v>4503.8599999999997</v>
      </c>
      <c r="BN74" s="175">
        <f t="shared" ref="BN74:BN90" si="87">ROUND((I74/5/365*31),2)</f>
        <v>32.1</v>
      </c>
      <c r="BO74" s="175">
        <f t="shared" ref="BO74:BO90" si="88">ROUND((I74/5/365*28),2)</f>
        <v>29</v>
      </c>
      <c r="BP74" s="175">
        <f t="shared" ref="BP74:BP90" si="89">ROUND((I74/5/365*31),2)</f>
        <v>32.1</v>
      </c>
      <c r="BQ74" s="175">
        <f t="shared" ref="BQ74:BQ90" si="90">ROUND((I74/5/365*30),2)</f>
        <v>31.07</v>
      </c>
      <c r="BR74" s="175">
        <f t="shared" ref="BR74:BR90" si="91">ROUND((I74/5/365*31),2)</f>
        <v>32.1</v>
      </c>
      <c r="BS74" s="175">
        <f t="shared" ref="BS74:BS90" si="92">ROUND((I74/5/365*30),2)</f>
        <v>31.07</v>
      </c>
      <c r="BT74" s="175">
        <f t="shared" ref="BT74:BT90" si="93">ROUND((I74/5/365*31),2)</f>
        <v>32.1</v>
      </c>
      <c r="BU74" s="175">
        <f t="shared" ref="BU74:BU90" si="94">ROUND((I74/5/365*31),2)</f>
        <v>32.1</v>
      </c>
      <c r="BV74" s="175">
        <f t="shared" ref="BV74:BV90" si="95">ROUND((I74/5/365*30),2)</f>
        <v>31.07</v>
      </c>
      <c r="BW74" s="175">
        <f t="shared" ref="BW74:BW90" si="96">ROUND((I74/5/365*31),2)</f>
        <v>32.1</v>
      </c>
      <c r="BX74" s="175">
        <f t="shared" ref="BX74:BX90" si="97">ROUND((I74/5/365*30),2)</f>
        <v>31.07</v>
      </c>
      <c r="BY74" s="175">
        <f t="shared" ref="BY74:BY90" si="98">ROUND((I74/5/365*31),2)</f>
        <v>32.1</v>
      </c>
      <c r="BZ74" s="175">
        <f t="shared" ref="BZ74:BZ90" si="99">SUM(BN74:BY74)</f>
        <v>377.98</v>
      </c>
      <c r="CA74" s="175">
        <f t="shared" ref="CA74:CA90" si="100">ROUND((BM74+BZ74),2)</f>
        <v>4881.84</v>
      </c>
      <c r="CB74" s="175">
        <f t="shared" ref="CB74:CB90" si="101">ROUND((I74/5/365*31),2)</f>
        <v>32.1</v>
      </c>
      <c r="CC74" s="175">
        <f t="shared" ref="CC74:CC90" si="102">ROUND((I74/5/365*29),2)</f>
        <v>30.03</v>
      </c>
      <c r="CD74" s="175">
        <f t="shared" ref="CD74:CD90" si="103">ROUND((I74/5/365*31),2)</f>
        <v>32.1</v>
      </c>
      <c r="CE74" s="175">
        <f t="shared" ref="CE74:CE90" si="104">ROUND((I74/5/365*30),2)</f>
        <v>31.07</v>
      </c>
      <c r="CF74" s="175">
        <f t="shared" ref="CF74:CF90" si="105">ROUND((I74/5/365*31),2)</f>
        <v>32.1</v>
      </c>
      <c r="CG74" s="175">
        <f t="shared" ref="CG74:CG90" si="106">ROUND((I74/5/365*30),2)</f>
        <v>31.07</v>
      </c>
      <c r="CH74" s="175">
        <f t="shared" ref="CH74:CH90" si="107">ROUND((I74/5/365*31),2)</f>
        <v>32.1</v>
      </c>
      <c r="CI74" s="175">
        <f t="shared" ref="CI74:CI90" si="108">ROUND((I74/5/365*31),2)</f>
        <v>32.1</v>
      </c>
      <c r="CJ74" s="175">
        <f t="shared" ref="CJ74:CJ90" si="109">ROUND((I74/5/365*30),2)</f>
        <v>31.07</v>
      </c>
      <c r="CK74" s="175">
        <f t="shared" ref="CK74:CK90" si="110">ROUND((I74/5/365*31),2)</f>
        <v>32.1</v>
      </c>
      <c r="CL74" s="175">
        <f t="shared" ref="CL74:CL90" si="111">ROUND((I74/5/365*30),2)</f>
        <v>31.07</v>
      </c>
      <c r="CM74" s="175">
        <f t="shared" ref="CM74:CM90" si="112">ROUND((I74/5/365*31),2)</f>
        <v>32.1</v>
      </c>
      <c r="CN74" s="175">
        <f t="shared" ref="CN74:CN90" si="113">SUM(CB74:CM74)</f>
        <v>379.01000000000005</v>
      </c>
      <c r="CO74" s="176">
        <f t="shared" ref="CO74:CO90" si="114">ROUND((CA74+CN74),2)</f>
        <v>5260.85</v>
      </c>
      <c r="CP74" s="175">
        <f t="shared" ref="CP74:CP90" si="115">ROUND((I74/5/365*31),2)</f>
        <v>32.1</v>
      </c>
      <c r="CQ74" s="175">
        <f t="shared" ref="CQ74:CQ90" si="116">ROUND((I74/5/365*28),2)</f>
        <v>29</v>
      </c>
      <c r="CR74" s="175">
        <f t="shared" ref="CR74:CR90" si="117">ROUND((I74/5/365*31),2)</f>
        <v>32.1</v>
      </c>
      <c r="CS74" s="175">
        <f t="shared" ref="CS74:CS90" si="118">ROUND((I74/5/365*30),2)</f>
        <v>31.07</v>
      </c>
      <c r="CT74" s="177">
        <f t="shared" ref="CT74:CT90" si="119">ROUND((I74/5/365*31),2)</f>
        <v>32.1</v>
      </c>
      <c r="CU74" s="175">
        <f t="shared" ref="CU74:CU90" si="120">ROUND((I74/5/365*30),2)</f>
        <v>31.07</v>
      </c>
      <c r="CV74" s="175">
        <f t="shared" ref="CV74:CV90" si="121">ROUND((I74/5/365*31),2)</f>
        <v>32.1</v>
      </c>
      <c r="CW74" s="175">
        <f t="shared" ref="CW74:CW90" si="122">ROUND((I74/5/365*31),2)</f>
        <v>32.1</v>
      </c>
      <c r="CX74" s="175">
        <f t="shared" ref="CX74:CX90" si="123">ROUND((I74/5/365*30),2)</f>
        <v>31.07</v>
      </c>
      <c r="CY74" s="175">
        <f t="shared" ref="CY74:CY90" si="124">ROUND((I74/5/365*31),2)</f>
        <v>32.1</v>
      </c>
      <c r="CZ74" s="175">
        <f t="shared" ref="CZ74:CZ90" si="125">ROUND((I74/5/365*30),2)</f>
        <v>31.07</v>
      </c>
      <c r="DA74" s="175">
        <v>13.56</v>
      </c>
      <c r="DB74" s="176">
        <f t="shared" ref="DB74:DB90" si="126">SUM(CP74:DA74)</f>
        <v>359.44</v>
      </c>
      <c r="DC74" s="176">
        <f t="shared" ref="DC74:DC90" si="127">ROUND((CO74+DB74),2)</f>
        <v>5620.29</v>
      </c>
      <c r="DD74" s="175"/>
      <c r="DE74" s="176"/>
      <c r="DF74" s="176"/>
      <c r="DG74" s="176"/>
      <c r="DH74" s="176"/>
      <c r="DI74" s="176"/>
      <c r="DJ74" s="176"/>
      <c r="DK74" s="176"/>
      <c r="DL74" s="176"/>
      <c r="DM74" s="176"/>
      <c r="DN74" s="176"/>
      <c r="DO74" s="176"/>
      <c r="DP74" s="176"/>
      <c r="DQ74" s="175">
        <f t="shared" ref="DQ74:DQ90" si="128">ROUND((CO74+CP74+CQ74+CR74+CS74+CT74+CU74+CV74+CW74+CX74+CY74+CZ74+DA74),2)</f>
        <v>5620.29</v>
      </c>
      <c r="DR74" s="175">
        <f t="shared" ref="DR74:DR90" si="129">SUM(G74-DQ74)</f>
        <v>-3520.29</v>
      </c>
    </row>
    <row r="75" spans="2:122" s="129" customFormat="1" ht="25.5" customHeight="1">
      <c r="B75" s="174">
        <v>41257</v>
      </c>
      <c r="C75" s="36" t="s">
        <v>114</v>
      </c>
      <c r="D75" s="45" t="s">
        <v>646</v>
      </c>
      <c r="E75" s="22" t="s">
        <v>294</v>
      </c>
      <c r="F75" s="22" t="s">
        <v>647</v>
      </c>
      <c r="G75" s="86">
        <v>2100</v>
      </c>
      <c r="H75" s="86">
        <f t="shared" si="43"/>
        <v>210</v>
      </c>
      <c r="I75" s="86">
        <f t="shared" si="44"/>
        <v>1890</v>
      </c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>
        <f t="shared" si="58"/>
        <v>0</v>
      </c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>
        <f>ROUND((I75/5/365*17),2)</f>
        <v>17.61</v>
      </c>
      <c r="AJ75" s="86">
        <f t="shared" si="59"/>
        <v>17.61</v>
      </c>
      <c r="AK75" s="86">
        <v>1890</v>
      </c>
      <c r="AL75" s="128">
        <v>1890</v>
      </c>
      <c r="AM75" s="175">
        <f t="shared" si="60"/>
        <v>29</v>
      </c>
      <c r="AN75" s="175">
        <f t="shared" si="61"/>
        <v>32.1</v>
      </c>
      <c r="AO75" s="175">
        <f t="shared" si="62"/>
        <v>31.07</v>
      </c>
      <c r="AP75" s="175">
        <f t="shared" si="63"/>
        <v>32.1</v>
      </c>
      <c r="AQ75" s="175">
        <f t="shared" si="64"/>
        <v>31.07</v>
      </c>
      <c r="AR75" s="175">
        <f t="shared" si="65"/>
        <v>32.1</v>
      </c>
      <c r="AS75" s="175">
        <f t="shared" si="66"/>
        <v>32.1</v>
      </c>
      <c r="AT75" s="175">
        <f t="shared" si="67"/>
        <v>31.07</v>
      </c>
      <c r="AU75" s="175">
        <f t="shared" si="68"/>
        <v>32.1</v>
      </c>
      <c r="AV75" s="175">
        <f t="shared" si="69"/>
        <v>31.07</v>
      </c>
      <c r="AW75" s="175">
        <f t="shared" si="70"/>
        <v>32.1</v>
      </c>
      <c r="AX75" s="175">
        <f t="shared" si="71"/>
        <v>2235.8799999999997</v>
      </c>
      <c r="AY75" s="175">
        <f t="shared" si="72"/>
        <v>4125.88</v>
      </c>
      <c r="AZ75" s="175">
        <f t="shared" si="73"/>
        <v>32.1</v>
      </c>
      <c r="BA75" s="175">
        <f t="shared" si="74"/>
        <v>29</v>
      </c>
      <c r="BB75" s="175">
        <f t="shared" si="75"/>
        <v>32.1</v>
      </c>
      <c r="BC75" s="175">
        <f t="shared" si="76"/>
        <v>31.07</v>
      </c>
      <c r="BD75" s="175">
        <f t="shared" si="77"/>
        <v>32.1</v>
      </c>
      <c r="BE75" s="175">
        <f t="shared" si="78"/>
        <v>31.07</v>
      </c>
      <c r="BF75" s="175">
        <f t="shared" si="79"/>
        <v>32.1</v>
      </c>
      <c r="BG75" s="175">
        <f t="shared" si="80"/>
        <v>32.1</v>
      </c>
      <c r="BH75" s="175">
        <f t="shared" si="81"/>
        <v>31.07</v>
      </c>
      <c r="BI75" s="175">
        <f t="shared" si="82"/>
        <v>32.1</v>
      </c>
      <c r="BJ75" s="175">
        <f t="shared" si="83"/>
        <v>31.07</v>
      </c>
      <c r="BK75" s="175">
        <f t="shared" si="84"/>
        <v>32.1</v>
      </c>
      <c r="BL75" s="175">
        <f t="shared" si="85"/>
        <v>377.98</v>
      </c>
      <c r="BM75" s="175">
        <f t="shared" si="86"/>
        <v>4503.8599999999997</v>
      </c>
      <c r="BN75" s="175">
        <f t="shared" si="87"/>
        <v>32.1</v>
      </c>
      <c r="BO75" s="175">
        <f t="shared" si="88"/>
        <v>29</v>
      </c>
      <c r="BP75" s="175">
        <f t="shared" si="89"/>
        <v>32.1</v>
      </c>
      <c r="BQ75" s="175">
        <f t="shared" si="90"/>
        <v>31.07</v>
      </c>
      <c r="BR75" s="175">
        <f t="shared" si="91"/>
        <v>32.1</v>
      </c>
      <c r="BS75" s="175">
        <f t="shared" si="92"/>
        <v>31.07</v>
      </c>
      <c r="BT75" s="175">
        <f t="shared" si="93"/>
        <v>32.1</v>
      </c>
      <c r="BU75" s="175">
        <f t="shared" si="94"/>
        <v>32.1</v>
      </c>
      <c r="BV75" s="175">
        <f t="shared" si="95"/>
        <v>31.07</v>
      </c>
      <c r="BW75" s="175">
        <f t="shared" si="96"/>
        <v>32.1</v>
      </c>
      <c r="BX75" s="175">
        <f t="shared" si="97"/>
        <v>31.07</v>
      </c>
      <c r="BY75" s="175">
        <f t="shared" si="98"/>
        <v>32.1</v>
      </c>
      <c r="BZ75" s="175">
        <f t="shared" si="99"/>
        <v>377.98</v>
      </c>
      <c r="CA75" s="175">
        <f t="shared" si="100"/>
        <v>4881.84</v>
      </c>
      <c r="CB75" s="175">
        <f t="shared" si="101"/>
        <v>32.1</v>
      </c>
      <c r="CC75" s="175">
        <f t="shared" si="102"/>
        <v>30.03</v>
      </c>
      <c r="CD75" s="175">
        <f t="shared" si="103"/>
        <v>32.1</v>
      </c>
      <c r="CE75" s="175">
        <f t="shared" si="104"/>
        <v>31.07</v>
      </c>
      <c r="CF75" s="175">
        <f t="shared" si="105"/>
        <v>32.1</v>
      </c>
      <c r="CG75" s="175">
        <f t="shared" si="106"/>
        <v>31.07</v>
      </c>
      <c r="CH75" s="175">
        <f t="shared" si="107"/>
        <v>32.1</v>
      </c>
      <c r="CI75" s="175">
        <f t="shared" si="108"/>
        <v>32.1</v>
      </c>
      <c r="CJ75" s="175">
        <f t="shared" si="109"/>
        <v>31.07</v>
      </c>
      <c r="CK75" s="175">
        <f t="shared" si="110"/>
        <v>32.1</v>
      </c>
      <c r="CL75" s="175">
        <f t="shared" si="111"/>
        <v>31.07</v>
      </c>
      <c r="CM75" s="175">
        <f t="shared" si="112"/>
        <v>32.1</v>
      </c>
      <c r="CN75" s="175">
        <f t="shared" si="113"/>
        <v>379.01000000000005</v>
      </c>
      <c r="CO75" s="176">
        <f t="shared" si="114"/>
        <v>5260.85</v>
      </c>
      <c r="CP75" s="175">
        <f t="shared" si="115"/>
        <v>32.1</v>
      </c>
      <c r="CQ75" s="175">
        <f t="shared" si="116"/>
        <v>29</v>
      </c>
      <c r="CR75" s="175">
        <f t="shared" si="117"/>
        <v>32.1</v>
      </c>
      <c r="CS75" s="175">
        <f t="shared" si="118"/>
        <v>31.07</v>
      </c>
      <c r="CT75" s="177">
        <f t="shared" si="119"/>
        <v>32.1</v>
      </c>
      <c r="CU75" s="175">
        <f t="shared" si="120"/>
        <v>31.07</v>
      </c>
      <c r="CV75" s="175">
        <f t="shared" si="121"/>
        <v>32.1</v>
      </c>
      <c r="CW75" s="175">
        <f t="shared" si="122"/>
        <v>32.1</v>
      </c>
      <c r="CX75" s="175">
        <f t="shared" si="123"/>
        <v>31.07</v>
      </c>
      <c r="CY75" s="175">
        <f t="shared" si="124"/>
        <v>32.1</v>
      </c>
      <c r="CZ75" s="175">
        <f t="shared" si="125"/>
        <v>31.07</v>
      </c>
      <c r="DA75" s="175">
        <v>13.56</v>
      </c>
      <c r="DB75" s="176">
        <f t="shared" si="126"/>
        <v>359.44</v>
      </c>
      <c r="DC75" s="176">
        <f t="shared" si="127"/>
        <v>5620.29</v>
      </c>
      <c r="DD75" s="175"/>
      <c r="DE75" s="176"/>
      <c r="DF75" s="176"/>
      <c r="DG75" s="176"/>
      <c r="DH75" s="176"/>
      <c r="DI75" s="176"/>
      <c r="DJ75" s="176"/>
      <c r="DK75" s="176"/>
      <c r="DL75" s="176"/>
      <c r="DM75" s="176"/>
      <c r="DN75" s="176"/>
      <c r="DO75" s="176"/>
      <c r="DP75" s="176"/>
      <c r="DQ75" s="175">
        <f t="shared" si="128"/>
        <v>5620.29</v>
      </c>
      <c r="DR75" s="175">
        <f t="shared" si="129"/>
        <v>-3520.29</v>
      </c>
    </row>
    <row r="76" spans="2:122" s="129" customFormat="1" ht="26.25" customHeight="1">
      <c r="B76" s="174">
        <v>41257</v>
      </c>
      <c r="C76" s="47" t="s">
        <v>648</v>
      </c>
      <c r="D76" s="47" t="s">
        <v>649</v>
      </c>
      <c r="E76" s="22" t="s">
        <v>112</v>
      </c>
      <c r="F76" s="22" t="s">
        <v>650</v>
      </c>
      <c r="G76" s="86">
        <v>1089</v>
      </c>
      <c r="H76" s="86">
        <f t="shared" si="43"/>
        <v>108.9</v>
      </c>
      <c r="I76" s="86">
        <f t="shared" si="44"/>
        <v>980.1</v>
      </c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>
        <f t="shared" si="58"/>
        <v>0</v>
      </c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>
        <f>ROUND((I76/5/365*17),2)</f>
        <v>9.1300000000000008</v>
      </c>
      <c r="AJ76" s="86">
        <f t="shared" si="59"/>
        <v>9.1300000000000008</v>
      </c>
      <c r="AK76" s="86">
        <v>980.1</v>
      </c>
      <c r="AL76" s="86">
        <v>980.1</v>
      </c>
      <c r="AM76" s="175">
        <f t="shared" si="60"/>
        <v>15.04</v>
      </c>
      <c r="AN76" s="175">
        <f t="shared" si="61"/>
        <v>16.649999999999999</v>
      </c>
      <c r="AO76" s="175">
        <f t="shared" si="62"/>
        <v>16.11</v>
      </c>
      <c r="AP76" s="175">
        <f t="shared" si="63"/>
        <v>16.649999999999999</v>
      </c>
      <c r="AQ76" s="175">
        <f t="shared" si="64"/>
        <v>16.11</v>
      </c>
      <c r="AR76" s="175">
        <f t="shared" si="65"/>
        <v>16.649999999999999</v>
      </c>
      <c r="AS76" s="175">
        <f t="shared" si="66"/>
        <v>16.649999999999999</v>
      </c>
      <c r="AT76" s="175">
        <f t="shared" si="67"/>
        <v>16.11</v>
      </c>
      <c r="AU76" s="175">
        <f t="shared" si="68"/>
        <v>16.649999999999999</v>
      </c>
      <c r="AV76" s="175">
        <f t="shared" si="69"/>
        <v>16.11</v>
      </c>
      <c r="AW76" s="175">
        <f t="shared" si="70"/>
        <v>16.649999999999999</v>
      </c>
      <c r="AX76" s="175">
        <f t="shared" si="71"/>
        <v>1159.48</v>
      </c>
      <c r="AY76" s="175">
        <f t="shared" si="72"/>
        <v>2139.58</v>
      </c>
      <c r="AZ76" s="175">
        <f t="shared" si="73"/>
        <v>16.649999999999999</v>
      </c>
      <c r="BA76" s="175">
        <f t="shared" si="74"/>
        <v>15.04</v>
      </c>
      <c r="BB76" s="175">
        <f t="shared" si="75"/>
        <v>16.649999999999999</v>
      </c>
      <c r="BC76" s="175">
        <f t="shared" si="76"/>
        <v>16.11</v>
      </c>
      <c r="BD76" s="175">
        <f t="shared" si="77"/>
        <v>16.649999999999999</v>
      </c>
      <c r="BE76" s="175">
        <f t="shared" si="78"/>
        <v>16.11</v>
      </c>
      <c r="BF76" s="175">
        <f t="shared" si="79"/>
        <v>16.649999999999999</v>
      </c>
      <c r="BG76" s="175">
        <f t="shared" si="80"/>
        <v>16.649999999999999</v>
      </c>
      <c r="BH76" s="175">
        <f t="shared" si="81"/>
        <v>16.11</v>
      </c>
      <c r="BI76" s="175">
        <f t="shared" si="82"/>
        <v>16.649999999999999</v>
      </c>
      <c r="BJ76" s="175">
        <f t="shared" si="83"/>
        <v>16.11</v>
      </c>
      <c r="BK76" s="175">
        <f t="shared" si="84"/>
        <v>16.649999999999999</v>
      </c>
      <c r="BL76" s="175">
        <f t="shared" si="85"/>
        <v>196.03</v>
      </c>
      <c r="BM76" s="175">
        <f t="shared" si="86"/>
        <v>2335.61</v>
      </c>
      <c r="BN76" s="175">
        <f t="shared" si="87"/>
        <v>16.649999999999999</v>
      </c>
      <c r="BO76" s="175">
        <f t="shared" si="88"/>
        <v>15.04</v>
      </c>
      <c r="BP76" s="175">
        <f t="shared" si="89"/>
        <v>16.649999999999999</v>
      </c>
      <c r="BQ76" s="175">
        <f t="shared" si="90"/>
        <v>16.11</v>
      </c>
      <c r="BR76" s="175">
        <f t="shared" si="91"/>
        <v>16.649999999999999</v>
      </c>
      <c r="BS76" s="175">
        <f t="shared" si="92"/>
        <v>16.11</v>
      </c>
      <c r="BT76" s="175">
        <f t="shared" si="93"/>
        <v>16.649999999999999</v>
      </c>
      <c r="BU76" s="175">
        <f t="shared" si="94"/>
        <v>16.649999999999999</v>
      </c>
      <c r="BV76" s="175">
        <f t="shared" si="95"/>
        <v>16.11</v>
      </c>
      <c r="BW76" s="175">
        <f t="shared" si="96"/>
        <v>16.649999999999999</v>
      </c>
      <c r="BX76" s="175">
        <f t="shared" si="97"/>
        <v>16.11</v>
      </c>
      <c r="BY76" s="175">
        <f t="shared" si="98"/>
        <v>16.649999999999999</v>
      </c>
      <c r="BZ76" s="175">
        <f t="shared" si="99"/>
        <v>196.03</v>
      </c>
      <c r="CA76" s="175">
        <f t="shared" si="100"/>
        <v>2531.64</v>
      </c>
      <c r="CB76" s="175">
        <f t="shared" si="101"/>
        <v>16.649999999999999</v>
      </c>
      <c r="CC76" s="175">
        <f t="shared" si="102"/>
        <v>15.57</v>
      </c>
      <c r="CD76" s="175">
        <f t="shared" si="103"/>
        <v>16.649999999999999</v>
      </c>
      <c r="CE76" s="175">
        <f t="shared" si="104"/>
        <v>16.11</v>
      </c>
      <c r="CF76" s="175">
        <f t="shared" si="105"/>
        <v>16.649999999999999</v>
      </c>
      <c r="CG76" s="175">
        <f t="shared" si="106"/>
        <v>16.11</v>
      </c>
      <c r="CH76" s="175">
        <f t="shared" si="107"/>
        <v>16.649999999999999</v>
      </c>
      <c r="CI76" s="175">
        <f t="shared" si="108"/>
        <v>16.649999999999999</v>
      </c>
      <c r="CJ76" s="175">
        <f t="shared" si="109"/>
        <v>16.11</v>
      </c>
      <c r="CK76" s="175">
        <f t="shared" si="110"/>
        <v>16.649999999999999</v>
      </c>
      <c r="CL76" s="175">
        <f t="shared" si="111"/>
        <v>16.11</v>
      </c>
      <c r="CM76" s="175">
        <f t="shared" si="112"/>
        <v>16.649999999999999</v>
      </c>
      <c r="CN76" s="175">
        <f t="shared" si="113"/>
        <v>196.55999999999997</v>
      </c>
      <c r="CO76" s="176">
        <f t="shared" si="114"/>
        <v>2728.2</v>
      </c>
      <c r="CP76" s="175">
        <f t="shared" si="115"/>
        <v>16.649999999999999</v>
      </c>
      <c r="CQ76" s="175">
        <f t="shared" si="116"/>
        <v>15.04</v>
      </c>
      <c r="CR76" s="175">
        <f t="shared" si="117"/>
        <v>16.649999999999999</v>
      </c>
      <c r="CS76" s="175">
        <f t="shared" si="118"/>
        <v>16.11</v>
      </c>
      <c r="CT76" s="177">
        <f t="shared" si="119"/>
        <v>16.649999999999999</v>
      </c>
      <c r="CU76" s="175">
        <f t="shared" si="120"/>
        <v>16.11</v>
      </c>
      <c r="CV76" s="175">
        <f t="shared" si="121"/>
        <v>16.649999999999999</v>
      </c>
      <c r="CW76" s="175">
        <f t="shared" si="122"/>
        <v>16.649999999999999</v>
      </c>
      <c r="CX76" s="175">
        <f t="shared" si="123"/>
        <v>16.11</v>
      </c>
      <c r="CY76" s="175">
        <f t="shared" si="124"/>
        <v>16.649999999999999</v>
      </c>
      <c r="CZ76" s="175">
        <f t="shared" si="125"/>
        <v>16.11</v>
      </c>
      <c r="DA76" s="175">
        <v>6.94</v>
      </c>
      <c r="DB76" s="176">
        <f t="shared" si="126"/>
        <v>186.32</v>
      </c>
      <c r="DC76" s="176">
        <f t="shared" si="127"/>
        <v>2914.52</v>
      </c>
      <c r="DD76" s="175"/>
      <c r="DE76" s="176"/>
      <c r="DF76" s="176"/>
      <c r="DG76" s="176"/>
      <c r="DH76" s="176"/>
      <c r="DI76" s="176"/>
      <c r="DJ76" s="176"/>
      <c r="DK76" s="176"/>
      <c r="DL76" s="176"/>
      <c r="DM76" s="176"/>
      <c r="DN76" s="176"/>
      <c r="DO76" s="176"/>
      <c r="DP76" s="176"/>
      <c r="DQ76" s="175">
        <f t="shared" si="128"/>
        <v>2914.52</v>
      </c>
      <c r="DR76" s="175">
        <f t="shared" si="129"/>
        <v>-1825.52</v>
      </c>
    </row>
    <row r="77" spans="2:122" s="129" customFormat="1" ht="24.75">
      <c r="B77" s="174">
        <v>41257</v>
      </c>
      <c r="C77" s="36" t="s">
        <v>128</v>
      </c>
      <c r="D77" s="36" t="s">
        <v>651</v>
      </c>
      <c r="E77" s="22" t="s">
        <v>112</v>
      </c>
      <c r="F77" s="22" t="s">
        <v>652</v>
      </c>
      <c r="G77" s="86">
        <v>649</v>
      </c>
      <c r="H77" s="86">
        <f t="shared" si="43"/>
        <v>64.900000000000006</v>
      </c>
      <c r="I77" s="86">
        <f t="shared" si="44"/>
        <v>584.1</v>
      </c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>
        <f t="shared" si="58"/>
        <v>0</v>
      </c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>
        <f>ROUND((I77/5/365*17),2)</f>
        <v>5.44</v>
      </c>
      <c r="AJ77" s="86">
        <f t="shared" si="59"/>
        <v>5.44</v>
      </c>
      <c r="AK77" s="86">
        <v>584.1</v>
      </c>
      <c r="AL77" s="86">
        <v>584.1</v>
      </c>
      <c r="AM77" s="175">
        <f t="shared" si="60"/>
        <v>8.9600000000000009</v>
      </c>
      <c r="AN77" s="175">
        <f t="shared" si="61"/>
        <v>9.92</v>
      </c>
      <c r="AO77" s="175">
        <f t="shared" si="62"/>
        <v>9.6</v>
      </c>
      <c r="AP77" s="175">
        <f t="shared" si="63"/>
        <v>9.92</v>
      </c>
      <c r="AQ77" s="175">
        <f t="shared" si="64"/>
        <v>9.6</v>
      </c>
      <c r="AR77" s="175">
        <f t="shared" si="65"/>
        <v>9.92</v>
      </c>
      <c r="AS77" s="175">
        <f t="shared" si="66"/>
        <v>9.92</v>
      </c>
      <c r="AT77" s="175">
        <f t="shared" si="67"/>
        <v>9.6</v>
      </c>
      <c r="AU77" s="175">
        <f t="shared" si="68"/>
        <v>9.92</v>
      </c>
      <c r="AV77" s="175">
        <f t="shared" si="69"/>
        <v>9.6</v>
      </c>
      <c r="AW77" s="175">
        <f t="shared" si="70"/>
        <v>9.92</v>
      </c>
      <c r="AX77" s="175">
        <f t="shared" si="71"/>
        <v>690.9799999999999</v>
      </c>
      <c r="AY77" s="175">
        <f t="shared" si="72"/>
        <v>1275.08</v>
      </c>
      <c r="AZ77" s="175">
        <f t="shared" si="73"/>
        <v>9.92</v>
      </c>
      <c r="BA77" s="175">
        <f t="shared" si="74"/>
        <v>8.9600000000000009</v>
      </c>
      <c r="BB77" s="175">
        <f t="shared" si="75"/>
        <v>9.92</v>
      </c>
      <c r="BC77" s="175">
        <f t="shared" si="76"/>
        <v>9.6</v>
      </c>
      <c r="BD77" s="175">
        <f t="shared" si="77"/>
        <v>9.92</v>
      </c>
      <c r="BE77" s="175">
        <f t="shared" si="78"/>
        <v>9.6</v>
      </c>
      <c r="BF77" s="175">
        <f t="shared" si="79"/>
        <v>9.92</v>
      </c>
      <c r="BG77" s="175">
        <f t="shared" si="80"/>
        <v>9.92</v>
      </c>
      <c r="BH77" s="175">
        <f t="shared" si="81"/>
        <v>9.6</v>
      </c>
      <c r="BI77" s="175">
        <f t="shared" si="82"/>
        <v>9.92</v>
      </c>
      <c r="BJ77" s="175">
        <f t="shared" si="83"/>
        <v>9.6</v>
      </c>
      <c r="BK77" s="175">
        <f t="shared" si="84"/>
        <v>9.92</v>
      </c>
      <c r="BL77" s="175">
        <f t="shared" si="85"/>
        <v>116.8</v>
      </c>
      <c r="BM77" s="175">
        <f t="shared" si="86"/>
        <v>1391.88</v>
      </c>
      <c r="BN77" s="175">
        <f t="shared" si="87"/>
        <v>9.92</v>
      </c>
      <c r="BO77" s="175">
        <f t="shared" si="88"/>
        <v>8.9600000000000009</v>
      </c>
      <c r="BP77" s="175">
        <f t="shared" si="89"/>
        <v>9.92</v>
      </c>
      <c r="BQ77" s="175">
        <f t="shared" si="90"/>
        <v>9.6</v>
      </c>
      <c r="BR77" s="175">
        <f t="shared" si="91"/>
        <v>9.92</v>
      </c>
      <c r="BS77" s="175">
        <f t="shared" si="92"/>
        <v>9.6</v>
      </c>
      <c r="BT77" s="175">
        <f t="shared" si="93"/>
        <v>9.92</v>
      </c>
      <c r="BU77" s="175">
        <f t="shared" si="94"/>
        <v>9.92</v>
      </c>
      <c r="BV77" s="175">
        <f t="shared" si="95"/>
        <v>9.6</v>
      </c>
      <c r="BW77" s="175">
        <f t="shared" si="96"/>
        <v>9.92</v>
      </c>
      <c r="BX77" s="175">
        <f t="shared" si="97"/>
        <v>9.6</v>
      </c>
      <c r="BY77" s="175">
        <f t="shared" si="98"/>
        <v>9.92</v>
      </c>
      <c r="BZ77" s="175">
        <f t="shared" si="99"/>
        <v>116.8</v>
      </c>
      <c r="CA77" s="175">
        <f t="shared" si="100"/>
        <v>1508.68</v>
      </c>
      <c r="CB77" s="175">
        <f t="shared" si="101"/>
        <v>9.92</v>
      </c>
      <c r="CC77" s="175">
        <f t="shared" si="102"/>
        <v>9.2799999999999994</v>
      </c>
      <c r="CD77" s="175">
        <f t="shared" si="103"/>
        <v>9.92</v>
      </c>
      <c r="CE77" s="175">
        <f t="shared" si="104"/>
        <v>9.6</v>
      </c>
      <c r="CF77" s="175">
        <f t="shared" si="105"/>
        <v>9.92</v>
      </c>
      <c r="CG77" s="175">
        <f t="shared" si="106"/>
        <v>9.6</v>
      </c>
      <c r="CH77" s="175">
        <f t="shared" si="107"/>
        <v>9.92</v>
      </c>
      <c r="CI77" s="175">
        <f t="shared" si="108"/>
        <v>9.92</v>
      </c>
      <c r="CJ77" s="175">
        <f t="shared" si="109"/>
        <v>9.6</v>
      </c>
      <c r="CK77" s="175">
        <f t="shared" si="110"/>
        <v>9.92</v>
      </c>
      <c r="CL77" s="175">
        <f t="shared" si="111"/>
        <v>9.6</v>
      </c>
      <c r="CM77" s="175">
        <f t="shared" si="112"/>
        <v>9.92</v>
      </c>
      <c r="CN77" s="175">
        <f t="shared" si="113"/>
        <v>117.11999999999999</v>
      </c>
      <c r="CO77" s="176">
        <f t="shared" si="114"/>
        <v>1625.8</v>
      </c>
      <c r="CP77" s="175">
        <f t="shared" si="115"/>
        <v>9.92</v>
      </c>
      <c r="CQ77" s="175">
        <f t="shared" si="116"/>
        <v>8.9600000000000009</v>
      </c>
      <c r="CR77" s="175">
        <f t="shared" si="117"/>
        <v>9.92</v>
      </c>
      <c r="CS77" s="175">
        <f t="shared" si="118"/>
        <v>9.6</v>
      </c>
      <c r="CT77" s="177">
        <f t="shared" si="119"/>
        <v>9.92</v>
      </c>
      <c r="CU77" s="175">
        <f t="shared" si="120"/>
        <v>9.6</v>
      </c>
      <c r="CV77" s="175">
        <f t="shared" si="121"/>
        <v>9.92</v>
      </c>
      <c r="CW77" s="175">
        <f t="shared" si="122"/>
        <v>9.92</v>
      </c>
      <c r="CX77" s="175">
        <f t="shared" si="123"/>
        <v>9.6</v>
      </c>
      <c r="CY77" s="175">
        <f t="shared" si="124"/>
        <v>9.92</v>
      </c>
      <c r="CZ77" s="175">
        <f t="shared" si="125"/>
        <v>9.6</v>
      </c>
      <c r="DA77" s="175">
        <v>4.26</v>
      </c>
      <c r="DB77" s="176">
        <f t="shared" si="126"/>
        <v>111.14</v>
      </c>
      <c r="DC77" s="176">
        <f t="shared" si="127"/>
        <v>1736.94</v>
      </c>
      <c r="DD77" s="175"/>
      <c r="DE77" s="176"/>
      <c r="DF77" s="176"/>
      <c r="DG77" s="176"/>
      <c r="DH77" s="176"/>
      <c r="DI77" s="176"/>
      <c r="DJ77" s="176"/>
      <c r="DK77" s="176"/>
      <c r="DL77" s="176"/>
      <c r="DM77" s="176"/>
      <c r="DN77" s="176"/>
      <c r="DO77" s="176"/>
      <c r="DP77" s="176"/>
      <c r="DQ77" s="175">
        <f t="shared" si="128"/>
        <v>1736.94</v>
      </c>
      <c r="DR77" s="175">
        <f t="shared" si="129"/>
        <v>-1087.94</v>
      </c>
    </row>
    <row r="78" spans="2:122" s="129" customFormat="1" ht="42.75" customHeight="1">
      <c r="B78" s="174">
        <v>41262</v>
      </c>
      <c r="C78" s="36" t="s">
        <v>114</v>
      </c>
      <c r="D78" s="45" t="s">
        <v>653</v>
      </c>
      <c r="E78" s="22" t="s">
        <v>133</v>
      </c>
      <c r="F78" s="22" t="s">
        <v>654</v>
      </c>
      <c r="G78" s="86">
        <v>1990</v>
      </c>
      <c r="H78" s="86">
        <f t="shared" si="43"/>
        <v>199</v>
      </c>
      <c r="I78" s="86">
        <f t="shared" si="44"/>
        <v>1791</v>
      </c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>
        <f t="shared" si="58"/>
        <v>0</v>
      </c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>
        <f t="shared" ref="AI78:AI89" si="130">ROUND((I78/5/365*12),2)</f>
        <v>11.78</v>
      </c>
      <c r="AJ78" s="86">
        <f t="shared" si="59"/>
        <v>11.78</v>
      </c>
      <c r="AK78" s="86">
        <v>1791</v>
      </c>
      <c r="AL78" s="86">
        <v>1791</v>
      </c>
      <c r="AM78" s="175">
        <f t="shared" si="60"/>
        <v>27.48</v>
      </c>
      <c r="AN78" s="175">
        <f t="shared" si="61"/>
        <v>30.42</v>
      </c>
      <c r="AO78" s="175">
        <f t="shared" si="62"/>
        <v>29.44</v>
      </c>
      <c r="AP78" s="175">
        <f t="shared" si="63"/>
        <v>30.42</v>
      </c>
      <c r="AQ78" s="175">
        <f t="shared" si="64"/>
        <v>29.44</v>
      </c>
      <c r="AR78" s="175">
        <f t="shared" si="65"/>
        <v>30.42</v>
      </c>
      <c r="AS78" s="175">
        <f t="shared" si="66"/>
        <v>30.42</v>
      </c>
      <c r="AT78" s="175">
        <f t="shared" si="67"/>
        <v>29.44</v>
      </c>
      <c r="AU78" s="175">
        <f t="shared" si="68"/>
        <v>30.42</v>
      </c>
      <c r="AV78" s="175">
        <f t="shared" si="69"/>
        <v>29.44</v>
      </c>
      <c r="AW78" s="175">
        <f t="shared" si="70"/>
        <v>30.42</v>
      </c>
      <c r="AX78" s="175">
        <f t="shared" si="71"/>
        <v>2118.7600000000007</v>
      </c>
      <c r="AY78" s="175">
        <f t="shared" si="72"/>
        <v>3909.76</v>
      </c>
      <c r="AZ78" s="175">
        <f t="shared" si="73"/>
        <v>30.42</v>
      </c>
      <c r="BA78" s="175">
        <f t="shared" si="74"/>
        <v>27.48</v>
      </c>
      <c r="BB78" s="175">
        <f t="shared" si="75"/>
        <v>30.42</v>
      </c>
      <c r="BC78" s="175">
        <f t="shared" si="76"/>
        <v>29.44</v>
      </c>
      <c r="BD78" s="175">
        <f t="shared" si="77"/>
        <v>30.42</v>
      </c>
      <c r="BE78" s="175">
        <f t="shared" si="78"/>
        <v>29.44</v>
      </c>
      <c r="BF78" s="175">
        <f t="shared" si="79"/>
        <v>30.42</v>
      </c>
      <c r="BG78" s="175">
        <f t="shared" si="80"/>
        <v>30.42</v>
      </c>
      <c r="BH78" s="175">
        <f t="shared" si="81"/>
        <v>29.44</v>
      </c>
      <c r="BI78" s="175">
        <f t="shared" si="82"/>
        <v>30.42</v>
      </c>
      <c r="BJ78" s="175">
        <f t="shared" si="83"/>
        <v>29.44</v>
      </c>
      <c r="BK78" s="175">
        <f t="shared" si="84"/>
        <v>30.42</v>
      </c>
      <c r="BL78" s="175">
        <f t="shared" si="85"/>
        <v>358.18000000000006</v>
      </c>
      <c r="BM78" s="175">
        <f t="shared" si="86"/>
        <v>4267.9399999999996</v>
      </c>
      <c r="BN78" s="175">
        <f t="shared" si="87"/>
        <v>30.42</v>
      </c>
      <c r="BO78" s="175">
        <f t="shared" si="88"/>
        <v>27.48</v>
      </c>
      <c r="BP78" s="175">
        <f t="shared" si="89"/>
        <v>30.42</v>
      </c>
      <c r="BQ78" s="175">
        <f t="shared" si="90"/>
        <v>29.44</v>
      </c>
      <c r="BR78" s="175">
        <f t="shared" si="91"/>
        <v>30.42</v>
      </c>
      <c r="BS78" s="175">
        <f t="shared" si="92"/>
        <v>29.44</v>
      </c>
      <c r="BT78" s="175">
        <f t="shared" si="93"/>
        <v>30.42</v>
      </c>
      <c r="BU78" s="175">
        <f t="shared" si="94"/>
        <v>30.42</v>
      </c>
      <c r="BV78" s="175">
        <f t="shared" si="95"/>
        <v>29.44</v>
      </c>
      <c r="BW78" s="175">
        <f t="shared" si="96"/>
        <v>30.42</v>
      </c>
      <c r="BX78" s="175">
        <f t="shared" si="97"/>
        <v>29.44</v>
      </c>
      <c r="BY78" s="175">
        <f t="shared" si="98"/>
        <v>30.42</v>
      </c>
      <c r="BZ78" s="175">
        <f t="shared" si="99"/>
        <v>358.18000000000006</v>
      </c>
      <c r="CA78" s="175">
        <f t="shared" si="100"/>
        <v>4626.12</v>
      </c>
      <c r="CB78" s="175">
        <f t="shared" si="101"/>
        <v>30.42</v>
      </c>
      <c r="CC78" s="175">
        <f t="shared" si="102"/>
        <v>28.46</v>
      </c>
      <c r="CD78" s="175">
        <f t="shared" si="103"/>
        <v>30.42</v>
      </c>
      <c r="CE78" s="175">
        <f t="shared" si="104"/>
        <v>29.44</v>
      </c>
      <c r="CF78" s="175">
        <f t="shared" si="105"/>
        <v>30.42</v>
      </c>
      <c r="CG78" s="175">
        <f t="shared" si="106"/>
        <v>29.44</v>
      </c>
      <c r="CH78" s="175">
        <f t="shared" si="107"/>
        <v>30.42</v>
      </c>
      <c r="CI78" s="175">
        <f t="shared" si="108"/>
        <v>30.42</v>
      </c>
      <c r="CJ78" s="175">
        <f t="shared" si="109"/>
        <v>29.44</v>
      </c>
      <c r="CK78" s="175">
        <f t="shared" si="110"/>
        <v>30.42</v>
      </c>
      <c r="CL78" s="175">
        <f t="shared" si="111"/>
        <v>29.44</v>
      </c>
      <c r="CM78" s="175">
        <f t="shared" si="112"/>
        <v>30.42</v>
      </c>
      <c r="CN78" s="175">
        <f t="shared" si="113"/>
        <v>359.16000000000008</v>
      </c>
      <c r="CO78" s="176">
        <f t="shared" si="114"/>
        <v>4985.28</v>
      </c>
      <c r="CP78" s="175">
        <f t="shared" si="115"/>
        <v>30.42</v>
      </c>
      <c r="CQ78" s="175">
        <f t="shared" si="116"/>
        <v>27.48</v>
      </c>
      <c r="CR78" s="175">
        <f t="shared" si="117"/>
        <v>30.42</v>
      </c>
      <c r="CS78" s="175">
        <f t="shared" si="118"/>
        <v>29.44</v>
      </c>
      <c r="CT78" s="177">
        <f t="shared" si="119"/>
        <v>30.42</v>
      </c>
      <c r="CU78" s="175">
        <f t="shared" si="120"/>
        <v>29.44</v>
      </c>
      <c r="CV78" s="175">
        <f t="shared" si="121"/>
        <v>30.42</v>
      </c>
      <c r="CW78" s="175">
        <f t="shared" si="122"/>
        <v>30.42</v>
      </c>
      <c r="CX78" s="175">
        <f t="shared" si="123"/>
        <v>29.44</v>
      </c>
      <c r="CY78" s="175">
        <f t="shared" si="124"/>
        <v>30.42</v>
      </c>
      <c r="CZ78" s="175">
        <f t="shared" si="125"/>
        <v>29.44</v>
      </c>
      <c r="DA78" s="175">
        <v>17.760000000000002</v>
      </c>
      <c r="DB78" s="176">
        <f t="shared" si="126"/>
        <v>345.52000000000004</v>
      </c>
      <c r="DC78" s="176">
        <f t="shared" si="127"/>
        <v>5330.8</v>
      </c>
      <c r="DD78" s="175"/>
      <c r="DE78" s="176"/>
      <c r="DF78" s="176"/>
      <c r="DG78" s="176"/>
      <c r="DH78" s="176"/>
      <c r="DI78" s="176"/>
      <c r="DJ78" s="176"/>
      <c r="DK78" s="176"/>
      <c r="DL78" s="176"/>
      <c r="DM78" s="176"/>
      <c r="DN78" s="176"/>
      <c r="DO78" s="176"/>
      <c r="DP78" s="176"/>
      <c r="DQ78" s="175">
        <f t="shared" si="128"/>
        <v>5330.8</v>
      </c>
      <c r="DR78" s="175">
        <f t="shared" si="129"/>
        <v>-3340.8</v>
      </c>
    </row>
    <row r="79" spans="2:122" s="129" customFormat="1" ht="42.75" customHeight="1">
      <c r="B79" s="174">
        <v>41262</v>
      </c>
      <c r="C79" s="36" t="s">
        <v>114</v>
      </c>
      <c r="D79" s="45" t="s">
        <v>655</v>
      </c>
      <c r="E79" s="22" t="s">
        <v>116</v>
      </c>
      <c r="F79" s="22" t="s">
        <v>656</v>
      </c>
      <c r="G79" s="86">
        <v>1990</v>
      </c>
      <c r="H79" s="86">
        <f t="shared" si="43"/>
        <v>199</v>
      </c>
      <c r="I79" s="86">
        <f t="shared" si="44"/>
        <v>1791</v>
      </c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>
        <f t="shared" si="58"/>
        <v>0</v>
      </c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>
        <f t="shared" si="130"/>
        <v>11.78</v>
      </c>
      <c r="AJ79" s="86">
        <f t="shared" si="59"/>
        <v>11.78</v>
      </c>
      <c r="AK79" s="86">
        <v>1791</v>
      </c>
      <c r="AL79" s="86">
        <v>1791</v>
      </c>
      <c r="AM79" s="175">
        <f t="shared" si="60"/>
        <v>27.48</v>
      </c>
      <c r="AN79" s="175">
        <f t="shared" si="61"/>
        <v>30.42</v>
      </c>
      <c r="AO79" s="175">
        <f t="shared" si="62"/>
        <v>29.44</v>
      </c>
      <c r="AP79" s="175">
        <f t="shared" si="63"/>
        <v>30.42</v>
      </c>
      <c r="AQ79" s="175">
        <f t="shared" si="64"/>
        <v>29.44</v>
      </c>
      <c r="AR79" s="175">
        <f t="shared" si="65"/>
        <v>30.42</v>
      </c>
      <c r="AS79" s="175">
        <f t="shared" si="66"/>
        <v>30.42</v>
      </c>
      <c r="AT79" s="175">
        <f t="shared" si="67"/>
        <v>29.44</v>
      </c>
      <c r="AU79" s="175">
        <f t="shared" si="68"/>
        <v>30.42</v>
      </c>
      <c r="AV79" s="175">
        <f t="shared" si="69"/>
        <v>29.44</v>
      </c>
      <c r="AW79" s="175">
        <f t="shared" si="70"/>
        <v>30.42</v>
      </c>
      <c r="AX79" s="175">
        <f t="shared" si="71"/>
        <v>2118.7600000000007</v>
      </c>
      <c r="AY79" s="175">
        <f t="shared" si="72"/>
        <v>3909.76</v>
      </c>
      <c r="AZ79" s="175">
        <f t="shared" si="73"/>
        <v>30.42</v>
      </c>
      <c r="BA79" s="175">
        <f t="shared" si="74"/>
        <v>27.48</v>
      </c>
      <c r="BB79" s="175">
        <f t="shared" si="75"/>
        <v>30.42</v>
      </c>
      <c r="BC79" s="175">
        <f t="shared" si="76"/>
        <v>29.44</v>
      </c>
      <c r="BD79" s="175">
        <f t="shared" si="77"/>
        <v>30.42</v>
      </c>
      <c r="BE79" s="175">
        <f t="shared" si="78"/>
        <v>29.44</v>
      </c>
      <c r="BF79" s="175">
        <f t="shared" si="79"/>
        <v>30.42</v>
      </c>
      <c r="BG79" s="175">
        <f t="shared" si="80"/>
        <v>30.42</v>
      </c>
      <c r="BH79" s="175">
        <f t="shared" si="81"/>
        <v>29.44</v>
      </c>
      <c r="BI79" s="175">
        <f t="shared" si="82"/>
        <v>30.42</v>
      </c>
      <c r="BJ79" s="175">
        <f t="shared" si="83"/>
        <v>29.44</v>
      </c>
      <c r="BK79" s="175">
        <f t="shared" si="84"/>
        <v>30.42</v>
      </c>
      <c r="BL79" s="175">
        <f t="shared" si="85"/>
        <v>358.18000000000006</v>
      </c>
      <c r="BM79" s="175">
        <f t="shared" si="86"/>
        <v>4267.9399999999996</v>
      </c>
      <c r="BN79" s="175">
        <f t="shared" si="87"/>
        <v>30.42</v>
      </c>
      <c r="BO79" s="175">
        <f t="shared" si="88"/>
        <v>27.48</v>
      </c>
      <c r="BP79" s="175">
        <f t="shared" si="89"/>
        <v>30.42</v>
      </c>
      <c r="BQ79" s="175">
        <f t="shared" si="90"/>
        <v>29.44</v>
      </c>
      <c r="BR79" s="175">
        <f t="shared" si="91"/>
        <v>30.42</v>
      </c>
      <c r="BS79" s="175">
        <f t="shared" si="92"/>
        <v>29.44</v>
      </c>
      <c r="BT79" s="175">
        <f t="shared" si="93"/>
        <v>30.42</v>
      </c>
      <c r="BU79" s="175">
        <f t="shared" si="94"/>
        <v>30.42</v>
      </c>
      <c r="BV79" s="175">
        <f t="shared" si="95"/>
        <v>29.44</v>
      </c>
      <c r="BW79" s="175">
        <f t="shared" si="96"/>
        <v>30.42</v>
      </c>
      <c r="BX79" s="175">
        <f t="shared" si="97"/>
        <v>29.44</v>
      </c>
      <c r="BY79" s="175">
        <f t="shared" si="98"/>
        <v>30.42</v>
      </c>
      <c r="BZ79" s="175">
        <f t="shared" si="99"/>
        <v>358.18000000000006</v>
      </c>
      <c r="CA79" s="175">
        <f t="shared" si="100"/>
        <v>4626.12</v>
      </c>
      <c r="CB79" s="175">
        <f t="shared" si="101"/>
        <v>30.42</v>
      </c>
      <c r="CC79" s="175">
        <f t="shared" si="102"/>
        <v>28.46</v>
      </c>
      <c r="CD79" s="175">
        <f t="shared" si="103"/>
        <v>30.42</v>
      </c>
      <c r="CE79" s="175">
        <f t="shared" si="104"/>
        <v>29.44</v>
      </c>
      <c r="CF79" s="175">
        <f t="shared" si="105"/>
        <v>30.42</v>
      </c>
      <c r="CG79" s="175">
        <f t="shared" si="106"/>
        <v>29.44</v>
      </c>
      <c r="CH79" s="175">
        <f t="shared" si="107"/>
        <v>30.42</v>
      </c>
      <c r="CI79" s="175">
        <f t="shared" si="108"/>
        <v>30.42</v>
      </c>
      <c r="CJ79" s="175">
        <f t="shared" si="109"/>
        <v>29.44</v>
      </c>
      <c r="CK79" s="175">
        <f t="shared" si="110"/>
        <v>30.42</v>
      </c>
      <c r="CL79" s="175">
        <f t="shared" si="111"/>
        <v>29.44</v>
      </c>
      <c r="CM79" s="175">
        <f t="shared" si="112"/>
        <v>30.42</v>
      </c>
      <c r="CN79" s="175">
        <f t="shared" si="113"/>
        <v>359.16000000000008</v>
      </c>
      <c r="CO79" s="176">
        <f t="shared" si="114"/>
        <v>4985.28</v>
      </c>
      <c r="CP79" s="175">
        <f t="shared" si="115"/>
        <v>30.42</v>
      </c>
      <c r="CQ79" s="175">
        <f t="shared" si="116"/>
        <v>27.48</v>
      </c>
      <c r="CR79" s="175">
        <f t="shared" si="117"/>
        <v>30.42</v>
      </c>
      <c r="CS79" s="175">
        <f t="shared" si="118"/>
        <v>29.44</v>
      </c>
      <c r="CT79" s="177">
        <f t="shared" si="119"/>
        <v>30.42</v>
      </c>
      <c r="CU79" s="175">
        <f t="shared" si="120"/>
        <v>29.44</v>
      </c>
      <c r="CV79" s="175">
        <f t="shared" si="121"/>
        <v>30.42</v>
      </c>
      <c r="CW79" s="175">
        <f t="shared" si="122"/>
        <v>30.42</v>
      </c>
      <c r="CX79" s="175">
        <f t="shared" si="123"/>
        <v>29.44</v>
      </c>
      <c r="CY79" s="175">
        <f t="shared" si="124"/>
        <v>30.42</v>
      </c>
      <c r="CZ79" s="175">
        <f t="shared" si="125"/>
        <v>29.44</v>
      </c>
      <c r="DA79" s="175">
        <v>17.760000000000002</v>
      </c>
      <c r="DB79" s="176">
        <f t="shared" si="126"/>
        <v>345.52000000000004</v>
      </c>
      <c r="DC79" s="176">
        <f t="shared" si="127"/>
        <v>5330.8</v>
      </c>
      <c r="DD79" s="175"/>
      <c r="DE79" s="176"/>
      <c r="DF79" s="176"/>
      <c r="DG79" s="176"/>
      <c r="DH79" s="176"/>
      <c r="DI79" s="176"/>
      <c r="DJ79" s="176"/>
      <c r="DK79" s="176"/>
      <c r="DL79" s="176"/>
      <c r="DM79" s="176"/>
      <c r="DN79" s="176"/>
      <c r="DO79" s="176"/>
      <c r="DP79" s="176"/>
      <c r="DQ79" s="175">
        <f t="shared" si="128"/>
        <v>5330.8</v>
      </c>
      <c r="DR79" s="175">
        <f t="shared" si="129"/>
        <v>-3340.8</v>
      </c>
    </row>
    <row r="80" spans="2:122" s="129" customFormat="1" ht="36.75" customHeight="1">
      <c r="B80" s="174">
        <v>41262</v>
      </c>
      <c r="C80" s="36" t="s">
        <v>114</v>
      </c>
      <c r="D80" s="45" t="s">
        <v>657</v>
      </c>
      <c r="E80" s="22" t="s">
        <v>658</v>
      </c>
      <c r="F80" s="22" t="s">
        <v>659</v>
      </c>
      <c r="G80" s="86">
        <v>1990</v>
      </c>
      <c r="H80" s="86">
        <f t="shared" si="43"/>
        <v>199</v>
      </c>
      <c r="I80" s="86">
        <f t="shared" si="44"/>
        <v>1791</v>
      </c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>
        <f t="shared" si="58"/>
        <v>0</v>
      </c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>
        <f t="shared" si="130"/>
        <v>11.78</v>
      </c>
      <c r="AJ80" s="86">
        <f t="shared" si="59"/>
        <v>11.78</v>
      </c>
      <c r="AK80" s="86">
        <v>1791</v>
      </c>
      <c r="AL80" s="86">
        <v>1791</v>
      </c>
      <c r="AM80" s="175">
        <f t="shared" si="60"/>
        <v>27.48</v>
      </c>
      <c r="AN80" s="175">
        <f t="shared" si="61"/>
        <v>30.42</v>
      </c>
      <c r="AO80" s="175">
        <f t="shared" si="62"/>
        <v>29.44</v>
      </c>
      <c r="AP80" s="175">
        <f t="shared" si="63"/>
        <v>30.42</v>
      </c>
      <c r="AQ80" s="175">
        <f t="shared" si="64"/>
        <v>29.44</v>
      </c>
      <c r="AR80" s="175">
        <f t="shared" si="65"/>
        <v>30.42</v>
      </c>
      <c r="AS80" s="175">
        <f t="shared" si="66"/>
        <v>30.42</v>
      </c>
      <c r="AT80" s="175">
        <f t="shared" si="67"/>
        <v>29.44</v>
      </c>
      <c r="AU80" s="175">
        <f t="shared" si="68"/>
        <v>30.42</v>
      </c>
      <c r="AV80" s="175">
        <f t="shared" si="69"/>
        <v>29.44</v>
      </c>
      <c r="AW80" s="175">
        <f t="shared" si="70"/>
        <v>30.42</v>
      </c>
      <c r="AX80" s="175">
        <f t="shared" si="71"/>
        <v>2118.7600000000007</v>
      </c>
      <c r="AY80" s="175">
        <f t="shared" si="72"/>
        <v>3909.76</v>
      </c>
      <c r="AZ80" s="175">
        <f t="shared" si="73"/>
        <v>30.42</v>
      </c>
      <c r="BA80" s="175">
        <f t="shared" si="74"/>
        <v>27.48</v>
      </c>
      <c r="BB80" s="175">
        <f t="shared" si="75"/>
        <v>30.42</v>
      </c>
      <c r="BC80" s="175">
        <f t="shared" si="76"/>
        <v>29.44</v>
      </c>
      <c r="BD80" s="175">
        <f t="shared" si="77"/>
        <v>30.42</v>
      </c>
      <c r="BE80" s="175">
        <f t="shared" si="78"/>
        <v>29.44</v>
      </c>
      <c r="BF80" s="175">
        <f t="shared" si="79"/>
        <v>30.42</v>
      </c>
      <c r="BG80" s="175">
        <f t="shared" si="80"/>
        <v>30.42</v>
      </c>
      <c r="BH80" s="175">
        <f t="shared" si="81"/>
        <v>29.44</v>
      </c>
      <c r="BI80" s="175">
        <f t="shared" si="82"/>
        <v>30.42</v>
      </c>
      <c r="BJ80" s="175">
        <f t="shared" si="83"/>
        <v>29.44</v>
      </c>
      <c r="BK80" s="175">
        <f t="shared" si="84"/>
        <v>30.42</v>
      </c>
      <c r="BL80" s="175">
        <f t="shared" si="85"/>
        <v>358.18000000000006</v>
      </c>
      <c r="BM80" s="175">
        <f t="shared" si="86"/>
        <v>4267.9399999999996</v>
      </c>
      <c r="BN80" s="175">
        <f t="shared" si="87"/>
        <v>30.42</v>
      </c>
      <c r="BO80" s="175">
        <f t="shared" si="88"/>
        <v>27.48</v>
      </c>
      <c r="BP80" s="175">
        <f t="shared" si="89"/>
        <v>30.42</v>
      </c>
      <c r="BQ80" s="175">
        <f t="shared" si="90"/>
        <v>29.44</v>
      </c>
      <c r="BR80" s="175">
        <f t="shared" si="91"/>
        <v>30.42</v>
      </c>
      <c r="BS80" s="175">
        <f t="shared" si="92"/>
        <v>29.44</v>
      </c>
      <c r="BT80" s="175">
        <f t="shared" si="93"/>
        <v>30.42</v>
      </c>
      <c r="BU80" s="175">
        <f t="shared" si="94"/>
        <v>30.42</v>
      </c>
      <c r="BV80" s="175">
        <f t="shared" si="95"/>
        <v>29.44</v>
      </c>
      <c r="BW80" s="175">
        <f t="shared" si="96"/>
        <v>30.42</v>
      </c>
      <c r="BX80" s="175">
        <f t="shared" si="97"/>
        <v>29.44</v>
      </c>
      <c r="BY80" s="175">
        <f t="shared" si="98"/>
        <v>30.42</v>
      </c>
      <c r="BZ80" s="175">
        <f t="shared" si="99"/>
        <v>358.18000000000006</v>
      </c>
      <c r="CA80" s="175">
        <f t="shared" si="100"/>
        <v>4626.12</v>
      </c>
      <c r="CB80" s="175">
        <f t="shared" si="101"/>
        <v>30.42</v>
      </c>
      <c r="CC80" s="175">
        <f t="shared" si="102"/>
        <v>28.46</v>
      </c>
      <c r="CD80" s="175">
        <f t="shared" si="103"/>
        <v>30.42</v>
      </c>
      <c r="CE80" s="175">
        <f t="shared" si="104"/>
        <v>29.44</v>
      </c>
      <c r="CF80" s="175">
        <f t="shared" si="105"/>
        <v>30.42</v>
      </c>
      <c r="CG80" s="175">
        <f t="shared" si="106"/>
        <v>29.44</v>
      </c>
      <c r="CH80" s="175">
        <f t="shared" si="107"/>
        <v>30.42</v>
      </c>
      <c r="CI80" s="175">
        <f t="shared" si="108"/>
        <v>30.42</v>
      </c>
      <c r="CJ80" s="175">
        <f t="shared" si="109"/>
        <v>29.44</v>
      </c>
      <c r="CK80" s="175">
        <f t="shared" si="110"/>
        <v>30.42</v>
      </c>
      <c r="CL80" s="175">
        <f t="shared" si="111"/>
        <v>29.44</v>
      </c>
      <c r="CM80" s="175">
        <f t="shared" si="112"/>
        <v>30.42</v>
      </c>
      <c r="CN80" s="175">
        <f t="shared" si="113"/>
        <v>359.16000000000008</v>
      </c>
      <c r="CO80" s="176">
        <f t="shared" si="114"/>
        <v>4985.28</v>
      </c>
      <c r="CP80" s="175">
        <f t="shared" si="115"/>
        <v>30.42</v>
      </c>
      <c r="CQ80" s="175">
        <f t="shared" si="116"/>
        <v>27.48</v>
      </c>
      <c r="CR80" s="175">
        <f t="shared" si="117"/>
        <v>30.42</v>
      </c>
      <c r="CS80" s="175">
        <f t="shared" si="118"/>
        <v>29.44</v>
      </c>
      <c r="CT80" s="177">
        <f t="shared" si="119"/>
        <v>30.42</v>
      </c>
      <c r="CU80" s="175">
        <f t="shared" si="120"/>
        <v>29.44</v>
      </c>
      <c r="CV80" s="175">
        <f t="shared" si="121"/>
        <v>30.42</v>
      </c>
      <c r="CW80" s="175">
        <f t="shared" si="122"/>
        <v>30.42</v>
      </c>
      <c r="CX80" s="175">
        <f t="shared" si="123"/>
        <v>29.44</v>
      </c>
      <c r="CY80" s="175">
        <f t="shared" si="124"/>
        <v>30.42</v>
      </c>
      <c r="CZ80" s="175">
        <f t="shared" si="125"/>
        <v>29.44</v>
      </c>
      <c r="DA80" s="175">
        <v>17.760000000000002</v>
      </c>
      <c r="DB80" s="176">
        <f t="shared" si="126"/>
        <v>345.52000000000004</v>
      </c>
      <c r="DC80" s="176">
        <f t="shared" si="127"/>
        <v>5330.8</v>
      </c>
      <c r="DD80" s="175"/>
      <c r="DE80" s="176"/>
      <c r="DF80" s="176"/>
      <c r="DG80" s="176"/>
      <c r="DH80" s="176"/>
      <c r="DI80" s="176"/>
      <c r="DJ80" s="176"/>
      <c r="DK80" s="176"/>
      <c r="DL80" s="176"/>
      <c r="DM80" s="176"/>
      <c r="DN80" s="176"/>
      <c r="DO80" s="176"/>
      <c r="DP80" s="176"/>
      <c r="DQ80" s="175">
        <f t="shared" si="128"/>
        <v>5330.8</v>
      </c>
      <c r="DR80" s="175">
        <f t="shared" si="129"/>
        <v>-3340.8</v>
      </c>
    </row>
    <row r="81" spans="2:122" s="129" customFormat="1" ht="28.5" customHeight="1">
      <c r="B81" s="174">
        <v>41262</v>
      </c>
      <c r="C81" s="36" t="s">
        <v>114</v>
      </c>
      <c r="D81" s="45" t="s">
        <v>660</v>
      </c>
      <c r="E81" s="22" t="s">
        <v>195</v>
      </c>
      <c r="F81" s="22" t="s">
        <v>661</v>
      </c>
      <c r="G81" s="86">
        <v>6160</v>
      </c>
      <c r="H81" s="86">
        <f t="shared" si="43"/>
        <v>616</v>
      </c>
      <c r="I81" s="86">
        <f t="shared" si="44"/>
        <v>5544</v>
      </c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>
        <f t="shared" si="58"/>
        <v>0</v>
      </c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>
        <f t="shared" si="130"/>
        <v>36.450000000000003</v>
      </c>
      <c r="AJ81" s="86">
        <f t="shared" si="59"/>
        <v>36.450000000000003</v>
      </c>
      <c r="AK81" s="86">
        <v>5544</v>
      </c>
      <c r="AL81" s="86">
        <v>5544</v>
      </c>
      <c r="AM81" s="175">
        <f t="shared" si="60"/>
        <v>85.06</v>
      </c>
      <c r="AN81" s="175">
        <f t="shared" si="61"/>
        <v>94.17</v>
      </c>
      <c r="AO81" s="175">
        <f t="shared" si="62"/>
        <v>91.13</v>
      </c>
      <c r="AP81" s="175">
        <f t="shared" si="63"/>
        <v>94.17</v>
      </c>
      <c r="AQ81" s="175">
        <f t="shared" si="64"/>
        <v>91.13</v>
      </c>
      <c r="AR81" s="175">
        <f t="shared" si="65"/>
        <v>94.17</v>
      </c>
      <c r="AS81" s="175">
        <f t="shared" si="66"/>
        <v>94.17</v>
      </c>
      <c r="AT81" s="175">
        <f t="shared" si="67"/>
        <v>91.13</v>
      </c>
      <c r="AU81" s="175">
        <f t="shared" si="68"/>
        <v>94.17</v>
      </c>
      <c r="AV81" s="175">
        <f t="shared" si="69"/>
        <v>91.13</v>
      </c>
      <c r="AW81" s="175">
        <f t="shared" si="70"/>
        <v>94.17</v>
      </c>
      <c r="AX81" s="175">
        <f t="shared" si="71"/>
        <v>6558.6000000000013</v>
      </c>
      <c r="AY81" s="175">
        <f t="shared" si="72"/>
        <v>12102.6</v>
      </c>
      <c r="AZ81" s="175">
        <f t="shared" si="73"/>
        <v>94.17</v>
      </c>
      <c r="BA81" s="175">
        <f t="shared" si="74"/>
        <v>85.06</v>
      </c>
      <c r="BB81" s="175">
        <f t="shared" si="75"/>
        <v>94.17</v>
      </c>
      <c r="BC81" s="175">
        <f t="shared" si="76"/>
        <v>91.13</v>
      </c>
      <c r="BD81" s="175">
        <f t="shared" si="77"/>
        <v>94.17</v>
      </c>
      <c r="BE81" s="175">
        <f t="shared" si="78"/>
        <v>91.13</v>
      </c>
      <c r="BF81" s="175">
        <f t="shared" si="79"/>
        <v>94.17</v>
      </c>
      <c r="BG81" s="175">
        <f t="shared" si="80"/>
        <v>94.17</v>
      </c>
      <c r="BH81" s="175">
        <f t="shared" si="81"/>
        <v>91.13</v>
      </c>
      <c r="BI81" s="175">
        <f t="shared" si="82"/>
        <v>94.17</v>
      </c>
      <c r="BJ81" s="175">
        <f t="shared" si="83"/>
        <v>91.13</v>
      </c>
      <c r="BK81" s="175">
        <f t="shared" si="84"/>
        <v>94.17</v>
      </c>
      <c r="BL81" s="175">
        <f t="shared" si="85"/>
        <v>1108.77</v>
      </c>
      <c r="BM81" s="175">
        <f t="shared" si="86"/>
        <v>13211.37</v>
      </c>
      <c r="BN81" s="175">
        <f t="shared" si="87"/>
        <v>94.17</v>
      </c>
      <c r="BO81" s="175">
        <f t="shared" si="88"/>
        <v>85.06</v>
      </c>
      <c r="BP81" s="175">
        <f t="shared" si="89"/>
        <v>94.17</v>
      </c>
      <c r="BQ81" s="175">
        <f t="shared" si="90"/>
        <v>91.13</v>
      </c>
      <c r="BR81" s="175">
        <f t="shared" si="91"/>
        <v>94.17</v>
      </c>
      <c r="BS81" s="175">
        <f t="shared" si="92"/>
        <v>91.13</v>
      </c>
      <c r="BT81" s="175">
        <f t="shared" si="93"/>
        <v>94.17</v>
      </c>
      <c r="BU81" s="175">
        <f t="shared" si="94"/>
        <v>94.17</v>
      </c>
      <c r="BV81" s="175">
        <f t="shared" si="95"/>
        <v>91.13</v>
      </c>
      <c r="BW81" s="175">
        <f t="shared" si="96"/>
        <v>94.17</v>
      </c>
      <c r="BX81" s="175">
        <f t="shared" si="97"/>
        <v>91.13</v>
      </c>
      <c r="BY81" s="175">
        <f t="shared" si="98"/>
        <v>94.17</v>
      </c>
      <c r="BZ81" s="175">
        <f t="shared" si="99"/>
        <v>1108.77</v>
      </c>
      <c r="CA81" s="175">
        <f t="shared" si="100"/>
        <v>14320.14</v>
      </c>
      <c r="CB81" s="175">
        <f t="shared" si="101"/>
        <v>94.17</v>
      </c>
      <c r="CC81" s="175">
        <f t="shared" si="102"/>
        <v>88.1</v>
      </c>
      <c r="CD81" s="175">
        <f t="shared" si="103"/>
        <v>94.17</v>
      </c>
      <c r="CE81" s="175">
        <f t="shared" si="104"/>
        <v>91.13</v>
      </c>
      <c r="CF81" s="175">
        <f t="shared" si="105"/>
        <v>94.17</v>
      </c>
      <c r="CG81" s="175">
        <f t="shared" si="106"/>
        <v>91.13</v>
      </c>
      <c r="CH81" s="175">
        <f t="shared" si="107"/>
        <v>94.17</v>
      </c>
      <c r="CI81" s="175">
        <f t="shared" si="108"/>
        <v>94.17</v>
      </c>
      <c r="CJ81" s="175">
        <f t="shared" si="109"/>
        <v>91.13</v>
      </c>
      <c r="CK81" s="175">
        <f t="shared" si="110"/>
        <v>94.17</v>
      </c>
      <c r="CL81" s="175">
        <f t="shared" si="111"/>
        <v>91.13</v>
      </c>
      <c r="CM81" s="175">
        <f t="shared" si="112"/>
        <v>94.17</v>
      </c>
      <c r="CN81" s="175">
        <f t="shared" si="113"/>
        <v>1111.81</v>
      </c>
      <c r="CO81" s="176">
        <f t="shared" si="114"/>
        <v>15431.95</v>
      </c>
      <c r="CP81" s="175">
        <f t="shared" si="115"/>
        <v>94.17</v>
      </c>
      <c r="CQ81" s="175">
        <f t="shared" si="116"/>
        <v>85.06</v>
      </c>
      <c r="CR81" s="175">
        <f t="shared" si="117"/>
        <v>94.17</v>
      </c>
      <c r="CS81" s="175">
        <f t="shared" si="118"/>
        <v>91.13</v>
      </c>
      <c r="CT81" s="177">
        <f t="shared" si="119"/>
        <v>94.17</v>
      </c>
      <c r="CU81" s="175">
        <f t="shared" si="120"/>
        <v>91.13</v>
      </c>
      <c r="CV81" s="175">
        <f t="shared" si="121"/>
        <v>94.17</v>
      </c>
      <c r="CW81" s="175">
        <f t="shared" si="122"/>
        <v>94.17</v>
      </c>
      <c r="CX81" s="175">
        <f t="shared" si="123"/>
        <v>91.13</v>
      </c>
      <c r="CY81" s="175">
        <f t="shared" si="124"/>
        <v>94.17</v>
      </c>
      <c r="CZ81" s="175">
        <f t="shared" si="125"/>
        <v>91.13</v>
      </c>
      <c r="DA81" s="175">
        <v>54.83</v>
      </c>
      <c r="DB81" s="176">
        <f t="shared" si="126"/>
        <v>1069.4299999999998</v>
      </c>
      <c r="DC81" s="176">
        <f t="shared" si="127"/>
        <v>16501.38</v>
      </c>
      <c r="DD81" s="176"/>
      <c r="DE81" s="176"/>
      <c r="DF81" s="176"/>
      <c r="DG81" s="176"/>
      <c r="DH81" s="176"/>
      <c r="DI81" s="176"/>
      <c r="DJ81" s="176"/>
      <c r="DK81" s="176"/>
      <c r="DL81" s="176"/>
      <c r="DM81" s="176"/>
      <c r="DN81" s="176"/>
      <c r="DO81" s="176"/>
      <c r="DP81" s="176"/>
      <c r="DQ81" s="175">
        <f t="shared" si="128"/>
        <v>16501.38</v>
      </c>
      <c r="DR81" s="175">
        <f t="shared" si="129"/>
        <v>-10341.380000000001</v>
      </c>
    </row>
    <row r="82" spans="2:122" s="129" customFormat="1" ht="26.25" customHeight="1">
      <c r="B82" s="174">
        <v>41262</v>
      </c>
      <c r="C82" s="36" t="s">
        <v>114</v>
      </c>
      <c r="D82" s="45" t="s">
        <v>660</v>
      </c>
      <c r="E82" s="22" t="s">
        <v>195</v>
      </c>
      <c r="F82" s="22" t="s">
        <v>662</v>
      </c>
      <c r="G82" s="86">
        <v>6160</v>
      </c>
      <c r="H82" s="86">
        <f t="shared" si="43"/>
        <v>616</v>
      </c>
      <c r="I82" s="86">
        <f t="shared" si="44"/>
        <v>5544</v>
      </c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>
        <f t="shared" si="58"/>
        <v>0</v>
      </c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>
        <f t="shared" si="130"/>
        <v>36.450000000000003</v>
      </c>
      <c r="AJ82" s="86">
        <f t="shared" si="59"/>
        <v>36.450000000000003</v>
      </c>
      <c r="AK82" s="86">
        <v>5544</v>
      </c>
      <c r="AL82" s="86">
        <v>5544</v>
      </c>
      <c r="AM82" s="175">
        <f t="shared" si="60"/>
        <v>85.06</v>
      </c>
      <c r="AN82" s="175">
        <f t="shared" si="61"/>
        <v>94.17</v>
      </c>
      <c r="AO82" s="175">
        <f t="shared" si="62"/>
        <v>91.13</v>
      </c>
      <c r="AP82" s="175">
        <f t="shared" si="63"/>
        <v>94.17</v>
      </c>
      <c r="AQ82" s="175">
        <f t="shared" si="64"/>
        <v>91.13</v>
      </c>
      <c r="AR82" s="175">
        <f t="shared" si="65"/>
        <v>94.17</v>
      </c>
      <c r="AS82" s="175">
        <f t="shared" si="66"/>
        <v>94.17</v>
      </c>
      <c r="AT82" s="175">
        <f t="shared" si="67"/>
        <v>91.13</v>
      </c>
      <c r="AU82" s="175">
        <f t="shared" si="68"/>
        <v>94.17</v>
      </c>
      <c r="AV82" s="175">
        <f t="shared" si="69"/>
        <v>91.13</v>
      </c>
      <c r="AW82" s="175">
        <f t="shared" si="70"/>
        <v>94.17</v>
      </c>
      <c r="AX82" s="175">
        <f t="shared" si="71"/>
        <v>6558.6000000000013</v>
      </c>
      <c r="AY82" s="175">
        <f t="shared" si="72"/>
        <v>12102.6</v>
      </c>
      <c r="AZ82" s="175">
        <f t="shared" si="73"/>
        <v>94.17</v>
      </c>
      <c r="BA82" s="175">
        <f t="shared" si="74"/>
        <v>85.06</v>
      </c>
      <c r="BB82" s="175">
        <f t="shared" si="75"/>
        <v>94.17</v>
      </c>
      <c r="BC82" s="175">
        <f t="shared" si="76"/>
        <v>91.13</v>
      </c>
      <c r="BD82" s="175">
        <f t="shared" si="77"/>
        <v>94.17</v>
      </c>
      <c r="BE82" s="175">
        <f t="shared" si="78"/>
        <v>91.13</v>
      </c>
      <c r="BF82" s="175">
        <f t="shared" si="79"/>
        <v>94.17</v>
      </c>
      <c r="BG82" s="175">
        <f t="shared" si="80"/>
        <v>94.17</v>
      </c>
      <c r="BH82" s="175">
        <f t="shared" si="81"/>
        <v>91.13</v>
      </c>
      <c r="BI82" s="175">
        <f t="shared" si="82"/>
        <v>94.17</v>
      </c>
      <c r="BJ82" s="175">
        <f t="shared" si="83"/>
        <v>91.13</v>
      </c>
      <c r="BK82" s="175">
        <f t="shared" si="84"/>
        <v>94.17</v>
      </c>
      <c r="BL82" s="175">
        <f t="shared" si="85"/>
        <v>1108.77</v>
      </c>
      <c r="BM82" s="175">
        <f t="shared" si="86"/>
        <v>13211.37</v>
      </c>
      <c r="BN82" s="175">
        <f t="shared" si="87"/>
        <v>94.17</v>
      </c>
      <c r="BO82" s="175">
        <f t="shared" si="88"/>
        <v>85.06</v>
      </c>
      <c r="BP82" s="175">
        <f t="shared" si="89"/>
        <v>94.17</v>
      </c>
      <c r="BQ82" s="175">
        <f t="shared" si="90"/>
        <v>91.13</v>
      </c>
      <c r="BR82" s="175">
        <f t="shared" si="91"/>
        <v>94.17</v>
      </c>
      <c r="BS82" s="175">
        <f t="shared" si="92"/>
        <v>91.13</v>
      </c>
      <c r="BT82" s="175">
        <f t="shared" si="93"/>
        <v>94.17</v>
      </c>
      <c r="BU82" s="175">
        <f t="shared" si="94"/>
        <v>94.17</v>
      </c>
      <c r="BV82" s="175">
        <f t="shared" si="95"/>
        <v>91.13</v>
      </c>
      <c r="BW82" s="175">
        <f t="shared" si="96"/>
        <v>94.17</v>
      </c>
      <c r="BX82" s="175">
        <f t="shared" si="97"/>
        <v>91.13</v>
      </c>
      <c r="BY82" s="175">
        <f t="shared" si="98"/>
        <v>94.17</v>
      </c>
      <c r="BZ82" s="175">
        <f t="shared" si="99"/>
        <v>1108.77</v>
      </c>
      <c r="CA82" s="175">
        <f t="shared" si="100"/>
        <v>14320.14</v>
      </c>
      <c r="CB82" s="175">
        <f t="shared" si="101"/>
        <v>94.17</v>
      </c>
      <c r="CC82" s="175">
        <f t="shared" si="102"/>
        <v>88.1</v>
      </c>
      <c r="CD82" s="175">
        <f t="shared" si="103"/>
        <v>94.17</v>
      </c>
      <c r="CE82" s="175">
        <f t="shared" si="104"/>
        <v>91.13</v>
      </c>
      <c r="CF82" s="175">
        <f t="shared" si="105"/>
        <v>94.17</v>
      </c>
      <c r="CG82" s="175">
        <f t="shared" si="106"/>
        <v>91.13</v>
      </c>
      <c r="CH82" s="175">
        <f t="shared" si="107"/>
        <v>94.17</v>
      </c>
      <c r="CI82" s="175">
        <f t="shared" si="108"/>
        <v>94.17</v>
      </c>
      <c r="CJ82" s="175">
        <f t="shared" si="109"/>
        <v>91.13</v>
      </c>
      <c r="CK82" s="175">
        <f t="shared" si="110"/>
        <v>94.17</v>
      </c>
      <c r="CL82" s="175">
        <f t="shared" si="111"/>
        <v>91.13</v>
      </c>
      <c r="CM82" s="175">
        <f t="shared" si="112"/>
        <v>94.17</v>
      </c>
      <c r="CN82" s="175">
        <f t="shared" si="113"/>
        <v>1111.81</v>
      </c>
      <c r="CO82" s="176">
        <f t="shared" si="114"/>
        <v>15431.95</v>
      </c>
      <c r="CP82" s="175">
        <f t="shared" si="115"/>
        <v>94.17</v>
      </c>
      <c r="CQ82" s="175">
        <f t="shared" si="116"/>
        <v>85.06</v>
      </c>
      <c r="CR82" s="175">
        <f t="shared" si="117"/>
        <v>94.17</v>
      </c>
      <c r="CS82" s="175">
        <f t="shared" si="118"/>
        <v>91.13</v>
      </c>
      <c r="CT82" s="177">
        <f t="shared" si="119"/>
        <v>94.17</v>
      </c>
      <c r="CU82" s="175">
        <f t="shared" si="120"/>
        <v>91.13</v>
      </c>
      <c r="CV82" s="175">
        <f t="shared" si="121"/>
        <v>94.17</v>
      </c>
      <c r="CW82" s="175">
        <f t="shared" si="122"/>
        <v>94.17</v>
      </c>
      <c r="CX82" s="175">
        <f t="shared" si="123"/>
        <v>91.13</v>
      </c>
      <c r="CY82" s="175">
        <f t="shared" si="124"/>
        <v>94.17</v>
      </c>
      <c r="CZ82" s="175">
        <f t="shared" si="125"/>
        <v>91.13</v>
      </c>
      <c r="DA82" s="175">
        <v>54.83</v>
      </c>
      <c r="DB82" s="176">
        <f t="shared" si="126"/>
        <v>1069.4299999999998</v>
      </c>
      <c r="DC82" s="176">
        <f t="shared" si="127"/>
        <v>16501.38</v>
      </c>
      <c r="DD82" s="176"/>
      <c r="DE82" s="176"/>
      <c r="DF82" s="176"/>
      <c r="DG82" s="176"/>
      <c r="DH82" s="176"/>
      <c r="DI82" s="176"/>
      <c r="DJ82" s="176"/>
      <c r="DK82" s="176"/>
      <c r="DL82" s="176"/>
      <c r="DM82" s="176"/>
      <c r="DN82" s="176"/>
      <c r="DO82" s="176"/>
      <c r="DP82" s="176"/>
      <c r="DQ82" s="175">
        <f t="shared" si="128"/>
        <v>16501.38</v>
      </c>
      <c r="DR82" s="175">
        <f t="shared" si="129"/>
        <v>-10341.380000000001</v>
      </c>
    </row>
    <row r="83" spans="2:122" s="129" customFormat="1" ht="36.75" customHeight="1">
      <c r="B83" s="174">
        <v>41262</v>
      </c>
      <c r="C83" s="36" t="s">
        <v>114</v>
      </c>
      <c r="D83" s="45" t="s">
        <v>663</v>
      </c>
      <c r="E83" s="22" t="s">
        <v>112</v>
      </c>
      <c r="F83" s="22" t="s">
        <v>664</v>
      </c>
      <c r="G83" s="86">
        <v>2290</v>
      </c>
      <c r="H83" s="86">
        <f t="shared" si="43"/>
        <v>229</v>
      </c>
      <c r="I83" s="86">
        <f t="shared" si="44"/>
        <v>2061</v>
      </c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>
        <f t="shared" si="58"/>
        <v>0</v>
      </c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>
        <f t="shared" si="130"/>
        <v>13.55</v>
      </c>
      <c r="AJ83" s="86">
        <f t="shared" si="59"/>
        <v>13.55</v>
      </c>
      <c r="AK83" s="86">
        <v>2061</v>
      </c>
      <c r="AL83" s="86">
        <v>2061</v>
      </c>
      <c r="AM83" s="175">
        <f t="shared" si="60"/>
        <v>31.62</v>
      </c>
      <c r="AN83" s="175">
        <f t="shared" si="61"/>
        <v>35.01</v>
      </c>
      <c r="AO83" s="175">
        <f t="shared" si="62"/>
        <v>33.880000000000003</v>
      </c>
      <c r="AP83" s="175">
        <f t="shared" si="63"/>
        <v>35.01</v>
      </c>
      <c r="AQ83" s="175">
        <f t="shared" si="64"/>
        <v>33.880000000000003</v>
      </c>
      <c r="AR83" s="175">
        <f t="shared" si="65"/>
        <v>35.01</v>
      </c>
      <c r="AS83" s="175">
        <f t="shared" si="66"/>
        <v>35.01</v>
      </c>
      <c r="AT83" s="175">
        <f t="shared" si="67"/>
        <v>33.880000000000003</v>
      </c>
      <c r="AU83" s="175">
        <f t="shared" si="68"/>
        <v>35.01</v>
      </c>
      <c r="AV83" s="175">
        <f t="shared" si="69"/>
        <v>33.880000000000003</v>
      </c>
      <c r="AW83" s="175">
        <f t="shared" si="70"/>
        <v>35.01</v>
      </c>
      <c r="AX83" s="175">
        <f t="shared" si="71"/>
        <v>2438.2000000000016</v>
      </c>
      <c r="AY83" s="175">
        <f t="shared" si="72"/>
        <v>4499.2</v>
      </c>
      <c r="AZ83" s="175">
        <f t="shared" si="73"/>
        <v>35.01</v>
      </c>
      <c r="BA83" s="175">
        <f t="shared" si="74"/>
        <v>31.62</v>
      </c>
      <c r="BB83" s="175">
        <f t="shared" si="75"/>
        <v>35.01</v>
      </c>
      <c r="BC83" s="175">
        <f t="shared" si="76"/>
        <v>33.880000000000003</v>
      </c>
      <c r="BD83" s="175">
        <f t="shared" si="77"/>
        <v>35.01</v>
      </c>
      <c r="BE83" s="175">
        <f t="shared" si="78"/>
        <v>33.880000000000003</v>
      </c>
      <c r="BF83" s="175">
        <f t="shared" si="79"/>
        <v>35.01</v>
      </c>
      <c r="BG83" s="175">
        <f t="shared" si="80"/>
        <v>35.01</v>
      </c>
      <c r="BH83" s="175">
        <f t="shared" si="81"/>
        <v>33.880000000000003</v>
      </c>
      <c r="BI83" s="175">
        <f t="shared" si="82"/>
        <v>35.01</v>
      </c>
      <c r="BJ83" s="175">
        <f t="shared" si="83"/>
        <v>33.880000000000003</v>
      </c>
      <c r="BK83" s="175">
        <f t="shared" si="84"/>
        <v>35.01</v>
      </c>
      <c r="BL83" s="175">
        <f t="shared" si="85"/>
        <v>412.20999999999992</v>
      </c>
      <c r="BM83" s="175">
        <f t="shared" si="86"/>
        <v>4911.41</v>
      </c>
      <c r="BN83" s="175">
        <f t="shared" si="87"/>
        <v>35.01</v>
      </c>
      <c r="BO83" s="175">
        <f t="shared" si="88"/>
        <v>31.62</v>
      </c>
      <c r="BP83" s="175">
        <f t="shared" si="89"/>
        <v>35.01</v>
      </c>
      <c r="BQ83" s="175">
        <f t="shared" si="90"/>
        <v>33.880000000000003</v>
      </c>
      <c r="BR83" s="175">
        <f t="shared" si="91"/>
        <v>35.01</v>
      </c>
      <c r="BS83" s="175">
        <f t="shared" si="92"/>
        <v>33.880000000000003</v>
      </c>
      <c r="BT83" s="175">
        <f t="shared" si="93"/>
        <v>35.01</v>
      </c>
      <c r="BU83" s="175">
        <f t="shared" si="94"/>
        <v>35.01</v>
      </c>
      <c r="BV83" s="175">
        <f t="shared" si="95"/>
        <v>33.880000000000003</v>
      </c>
      <c r="BW83" s="175">
        <f t="shared" si="96"/>
        <v>35.01</v>
      </c>
      <c r="BX83" s="175">
        <f t="shared" si="97"/>
        <v>33.880000000000003</v>
      </c>
      <c r="BY83" s="175">
        <f t="shared" si="98"/>
        <v>35.01</v>
      </c>
      <c r="BZ83" s="175">
        <f t="shared" si="99"/>
        <v>412.20999999999992</v>
      </c>
      <c r="CA83" s="175">
        <f t="shared" si="100"/>
        <v>5323.62</v>
      </c>
      <c r="CB83" s="175">
        <f t="shared" si="101"/>
        <v>35.01</v>
      </c>
      <c r="CC83" s="175">
        <f t="shared" si="102"/>
        <v>32.75</v>
      </c>
      <c r="CD83" s="175">
        <f t="shared" si="103"/>
        <v>35.01</v>
      </c>
      <c r="CE83" s="175">
        <f t="shared" si="104"/>
        <v>33.880000000000003</v>
      </c>
      <c r="CF83" s="175">
        <f t="shared" si="105"/>
        <v>35.01</v>
      </c>
      <c r="CG83" s="175">
        <f t="shared" si="106"/>
        <v>33.880000000000003</v>
      </c>
      <c r="CH83" s="175">
        <f t="shared" si="107"/>
        <v>35.01</v>
      </c>
      <c r="CI83" s="175">
        <f t="shared" si="108"/>
        <v>35.01</v>
      </c>
      <c r="CJ83" s="175">
        <f t="shared" si="109"/>
        <v>33.880000000000003</v>
      </c>
      <c r="CK83" s="175">
        <f t="shared" si="110"/>
        <v>35.01</v>
      </c>
      <c r="CL83" s="175">
        <f t="shared" si="111"/>
        <v>33.880000000000003</v>
      </c>
      <c r="CM83" s="175">
        <f t="shared" si="112"/>
        <v>35.01</v>
      </c>
      <c r="CN83" s="175">
        <f t="shared" si="113"/>
        <v>413.33999999999992</v>
      </c>
      <c r="CO83" s="176">
        <f t="shared" si="114"/>
        <v>5736.96</v>
      </c>
      <c r="CP83" s="175">
        <f t="shared" si="115"/>
        <v>35.01</v>
      </c>
      <c r="CQ83" s="175">
        <f t="shared" si="116"/>
        <v>31.62</v>
      </c>
      <c r="CR83" s="175">
        <f t="shared" si="117"/>
        <v>35.01</v>
      </c>
      <c r="CS83" s="175">
        <f t="shared" si="118"/>
        <v>33.880000000000003</v>
      </c>
      <c r="CT83" s="177">
        <f t="shared" si="119"/>
        <v>35.01</v>
      </c>
      <c r="CU83" s="175">
        <f t="shared" si="120"/>
        <v>33.880000000000003</v>
      </c>
      <c r="CV83" s="175">
        <f t="shared" si="121"/>
        <v>35.01</v>
      </c>
      <c r="CW83" s="175">
        <f t="shared" si="122"/>
        <v>35.01</v>
      </c>
      <c r="CX83" s="175">
        <f t="shared" si="123"/>
        <v>33.880000000000003</v>
      </c>
      <c r="CY83" s="175">
        <f t="shared" si="124"/>
        <v>35.01</v>
      </c>
      <c r="CZ83" s="175">
        <f t="shared" si="125"/>
        <v>33.880000000000003</v>
      </c>
      <c r="DA83" s="175">
        <v>20.28</v>
      </c>
      <c r="DB83" s="176">
        <f t="shared" si="126"/>
        <v>397.4799999999999</v>
      </c>
      <c r="DC83" s="176">
        <f t="shared" si="127"/>
        <v>6134.44</v>
      </c>
      <c r="DD83" s="176"/>
      <c r="DE83" s="176"/>
      <c r="DF83" s="176"/>
      <c r="DG83" s="176"/>
      <c r="DH83" s="176"/>
      <c r="DI83" s="176"/>
      <c r="DJ83" s="176"/>
      <c r="DK83" s="176"/>
      <c r="DL83" s="176"/>
      <c r="DM83" s="176"/>
      <c r="DN83" s="176"/>
      <c r="DO83" s="176"/>
      <c r="DP83" s="176"/>
      <c r="DQ83" s="175">
        <f t="shared" si="128"/>
        <v>6134.44</v>
      </c>
      <c r="DR83" s="175">
        <f t="shared" si="129"/>
        <v>-3844.4399999999996</v>
      </c>
    </row>
    <row r="84" spans="2:122" s="129" customFormat="1" ht="33" customHeight="1">
      <c r="B84" s="174">
        <v>41262</v>
      </c>
      <c r="C84" s="36" t="s">
        <v>114</v>
      </c>
      <c r="D84" s="45" t="s">
        <v>663</v>
      </c>
      <c r="E84" s="22" t="s">
        <v>112</v>
      </c>
      <c r="F84" s="22" t="s">
        <v>665</v>
      </c>
      <c r="G84" s="86">
        <v>2290</v>
      </c>
      <c r="H84" s="86">
        <f t="shared" si="43"/>
        <v>229</v>
      </c>
      <c r="I84" s="86">
        <f t="shared" si="44"/>
        <v>2061</v>
      </c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>
        <f t="shared" si="58"/>
        <v>0</v>
      </c>
      <c r="X84" s="86"/>
      <c r="Y84" s="86"/>
      <c r="Z84" s="86"/>
      <c r="AA84" s="86"/>
      <c r="AB84" s="86"/>
      <c r="AC84" s="86"/>
      <c r="AD84" s="86"/>
      <c r="AE84" s="86"/>
      <c r="AF84" s="86"/>
      <c r="AG84" s="86"/>
      <c r="AH84" s="86"/>
      <c r="AI84" s="86">
        <f t="shared" si="130"/>
        <v>13.55</v>
      </c>
      <c r="AJ84" s="86">
        <f t="shared" si="59"/>
        <v>13.55</v>
      </c>
      <c r="AK84" s="86">
        <v>2061</v>
      </c>
      <c r="AL84" s="86">
        <v>2061</v>
      </c>
      <c r="AM84" s="175">
        <f t="shared" si="60"/>
        <v>31.62</v>
      </c>
      <c r="AN84" s="175">
        <f t="shared" si="61"/>
        <v>35.01</v>
      </c>
      <c r="AO84" s="175">
        <f t="shared" si="62"/>
        <v>33.880000000000003</v>
      </c>
      <c r="AP84" s="175">
        <f t="shared" si="63"/>
        <v>35.01</v>
      </c>
      <c r="AQ84" s="175">
        <f t="shared" si="64"/>
        <v>33.880000000000003</v>
      </c>
      <c r="AR84" s="175">
        <f t="shared" si="65"/>
        <v>35.01</v>
      </c>
      <c r="AS84" s="175">
        <f t="shared" si="66"/>
        <v>35.01</v>
      </c>
      <c r="AT84" s="175">
        <f t="shared" si="67"/>
        <v>33.880000000000003</v>
      </c>
      <c r="AU84" s="175">
        <f t="shared" si="68"/>
        <v>35.01</v>
      </c>
      <c r="AV84" s="175">
        <f t="shared" si="69"/>
        <v>33.880000000000003</v>
      </c>
      <c r="AW84" s="175">
        <f t="shared" si="70"/>
        <v>35.01</v>
      </c>
      <c r="AX84" s="175">
        <f t="shared" si="71"/>
        <v>2438.2000000000016</v>
      </c>
      <c r="AY84" s="175">
        <f t="shared" si="72"/>
        <v>4499.2</v>
      </c>
      <c r="AZ84" s="175">
        <f t="shared" si="73"/>
        <v>35.01</v>
      </c>
      <c r="BA84" s="175">
        <f t="shared" si="74"/>
        <v>31.62</v>
      </c>
      <c r="BB84" s="175">
        <f t="shared" si="75"/>
        <v>35.01</v>
      </c>
      <c r="BC84" s="175">
        <f t="shared" si="76"/>
        <v>33.880000000000003</v>
      </c>
      <c r="BD84" s="175">
        <f t="shared" si="77"/>
        <v>35.01</v>
      </c>
      <c r="BE84" s="175">
        <f t="shared" si="78"/>
        <v>33.880000000000003</v>
      </c>
      <c r="BF84" s="175">
        <f t="shared" si="79"/>
        <v>35.01</v>
      </c>
      <c r="BG84" s="175">
        <f t="shared" si="80"/>
        <v>35.01</v>
      </c>
      <c r="BH84" s="175">
        <f t="shared" si="81"/>
        <v>33.880000000000003</v>
      </c>
      <c r="BI84" s="175">
        <f t="shared" si="82"/>
        <v>35.01</v>
      </c>
      <c r="BJ84" s="175">
        <f t="shared" si="83"/>
        <v>33.880000000000003</v>
      </c>
      <c r="BK84" s="175">
        <f t="shared" si="84"/>
        <v>35.01</v>
      </c>
      <c r="BL84" s="175">
        <f t="shared" si="85"/>
        <v>412.20999999999992</v>
      </c>
      <c r="BM84" s="175">
        <f t="shared" si="86"/>
        <v>4911.41</v>
      </c>
      <c r="BN84" s="175">
        <f t="shared" si="87"/>
        <v>35.01</v>
      </c>
      <c r="BO84" s="175">
        <f t="shared" si="88"/>
        <v>31.62</v>
      </c>
      <c r="BP84" s="175">
        <f t="shared" si="89"/>
        <v>35.01</v>
      </c>
      <c r="BQ84" s="175">
        <f t="shared" si="90"/>
        <v>33.880000000000003</v>
      </c>
      <c r="BR84" s="175">
        <f t="shared" si="91"/>
        <v>35.01</v>
      </c>
      <c r="BS84" s="175">
        <f t="shared" si="92"/>
        <v>33.880000000000003</v>
      </c>
      <c r="BT84" s="175">
        <f t="shared" si="93"/>
        <v>35.01</v>
      </c>
      <c r="BU84" s="175">
        <f t="shared" si="94"/>
        <v>35.01</v>
      </c>
      <c r="BV84" s="175">
        <f t="shared" si="95"/>
        <v>33.880000000000003</v>
      </c>
      <c r="BW84" s="175">
        <f t="shared" si="96"/>
        <v>35.01</v>
      </c>
      <c r="BX84" s="175">
        <f t="shared" si="97"/>
        <v>33.880000000000003</v>
      </c>
      <c r="BY84" s="175">
        <f t="shared" si="98"/>
        <v>35.01</v>
      </c>
      <c r="BZ84" s="175">
        <f t="shared" si="99"/>
        <v>412.20999999999992</v>
      </c>
      <c r="CA84" s="175">
        <f t="shared" si="100"/>
        <v>5323.62</v>
      </c>
      <c r="CB84" s="175">
        <f t="shared" si="101"/>
        <v>35.01</v>
      </c>
      <c r="CC84" s="175">
        <f t="shared" si="102"/>
        <v>32.75</v>
      </c>
      <c r="CD84" s="175">
        <f t="shared" si="103"/>
        <v>35.01</v>
      </c>
      <c r="CE84" s="175">
        <f t="shared" si="104"/>
        <v>33.880000000000003</v>
      </c>
      <c r="CF84" s="175">
        <f t="shared" si="105"/>
        <v>35.01</v>
      </c>
      <c r="CG84" s="175">
        <f t="shared" si="106"/>
        <v>33.880000000000003</v>
      </c>
      <c r="CH84" s="175">
        <f t="shared" si="107"/>
        <v>35.01</v>
      </c>
      <c r="CI84" s="175">
        <f t="shared" si="108"/>
        <v>35.01</v>
      </c>
      <c r="CJ84" s="175">
        <f t="shared" si="109"/>
        <v>33.880000000000003</v>
      </c>
      <c r="CK84" s="175">
        <f t="shared" si="110"/>
        <v>35.01</v>
      </c>
      <c r="CL84" s="175">
        <f t="shared" si="111"/>
        <v>33.880000000000003</v>
      </c>
      <c r="CM84" s="175">
        <f t="shared" si="112"/>
        <v>35.01</v>
      </c>
      <c r="CN84" s="175">
        <f t="shared" si="113"/>
        <v>413.33999999999992</v>
      </c>
      <c r="CO84" s="176">
        <f t="shared" si="114"/>
        <v>5736.96</v>
      </c>
      <c r="CP84" s="175">
        <f t="shared" si="115"/>
        <v>35.01</v>
      </c>
      <c r="CQ84" s="175">
        <f t="shared" si="116"/>
        <v>31.62</v>
      </c>
      <c r="CR84" s="175">
        <f t="shared" si="117"/>
        <v>35.01</v>
      </c>
      <c r="CS84" s="175">
        <f t="shared" si="118"/>
        <v>33.880000000000003</v>
      </c>
      <c r="CT84" s="177">
        <f t="shared" si="119"/>
        <v>35.01</v>
      </c>
      <c r="CU84" s="175">
        <f t="shared" si="120"/>
        <v>33.880000000000003</v>
      </c>
      <c r="CV84" s="175">
        <f t="shared" si="121"/>
        <v>35.01</v>
      </c>
      <c r="CW84" s="175">
        <f t="shared" si="122"/>
        <v>35.01</v>
      </c>
      <c r="CX84" s="175">
        <f t="shared" si="123"/>
        <v>33.880000000000003</v>
      </c>
      <c r="CY84" s="175">
        <f t="shared" si="124"/>
        <v>35.01</v>
      </c>
      <c r="CZ84" s="175">
        <f t="shared" si="125"/>
        <v>33.880000000000003</v>
      </c>
      <c r="DA84" s="175">
        <v>20.28</v>
      </c>
      <c r="DB84" s="176">
        <f t="shared" si="126"/>
        <v>397.4799999999999</v>
      </c>
      <c r="DC84" s="176">
        <f t="shared" si="127"/>
        <v>6134.44</v>
      </c>
      <c r="DD84" s="176"/>
      <c r="DE84" s="176"/>
      <c r="DF84" s="176"/>
      <c r="DG84" s="176"/>
      <c r="DH84" s="176"/>
      <c r="DI84" s="176"/>
      <c r="DJ84" s="176"/>
      <c r="DK84" s="176"/>
      <c r="DL84" s="176"/>
      <c r="DM84" s="176"/>
      <c r="DN84" s="176"/>
      <c r="DO84" s="176"/>
      <c r="DP84" s="176"/>
      <c r="DQ84" s="175">
        <f t="shared" si="128"/>
        <v>6134.44</v>
      </c>
      <c r="DR84" s="175">
        <f t="shared" si="129"/>
        <v>-3844.4399999999996</v>
      </c>
    </row>
    <row r="85" spans="2:122" s="129" customFormat="1" ht="36" customHeight="1">
      <c r="B85" s="174">
        <v>41262</v>
      </c>
      <c r="C85" s="36" t="s">
        <v>114</v>
      </c>
      <c r="D85" s="45" t="s">
        <v>663</v>
      </c>
      <c r="E85" s="22" t="s">
        <v>112</v>
      </c>
      <c r="F85" s="22" t="s">
        <v>666</v>
      </c>
      <c r="G85" s="86">
        <v>2290</v>
      </c>
      <c r="H85" s="86">
        <f t="shared" si="43"/>
        <v>229</v>
      </c>
      <c r="I85" s="86">
        <f t="shared" si="44"/>
        <v>2061</v>
      </c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>
        <f t="shared" si="58"/>
        <v>0</v>
      </c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6">
        <f>ROUND((I85/5/365*13),2)</f>
        <v>14.68</v>
      </c>
      <c r="AI85" s="86">
        <f t="shared" si="130"/>
        <v>13.55</v>
      </c>
      <c r="AJ85" s="86">
        <f t="shared" si="59"/>
        <v>28.23</v>
      </c>
      <c r="AK85" s="86">
        <v>2061</v>
      </c>
      <c r="AL85" s="86">
        <v>2061</v>
      </c>
      <c r="AM85" s="175">
        <f t="shared" si="60"/>
        <v>31.62</v>
      </c>
      <c r="AN85" s="175">
        <f t="shared" si="61"/>
        <v>35.01</v>
      </c>
      <c r="AO85" s="175">
        <f t="shared" si="62"/>
        <v>33.880000000000003</v>
      </c>
      <c r="AP85" s="175">
        <f t="shared" si="63"/>
        <v>35.01</v>
      </c>
      <c r="AQ85" s="175">
        <f t="shared" si="64"/>
        <v>33.880000000000003</v>
      </c>
      <c r="AR85" s="175">
        <f t="shared" si="65"/>
        <v>35.01</v>
      </c>
      <c r="AS85" s="175">
        <f t="shared" si="66"/>
        <v>35.01</v>
      </c>
      <c r="AT85" s="175">
        <f t="shared" si="67"/>
        <v>33.880000000000003</v>
      </c>
      <c r="AU85" s="175">
        <f t="shared" si="68"/>
        <v>35.01</v>
      </c>
      <c r="AV85" s="175">
        <f t="shared" si="69"/>
        <v>33.880000000000003</v>
      </c>
      <c r="AW85" s="175">
        <f t="shared" si="70"/>
        <v>35.01</v>
      </c>
      <c r="AX85" s="175">
        <f t="shared" si="71"/>
        <v>2438.2000000000016</v>
      </c>
      <c r="AY85" s="175">
        <f t="shared" si="72"/>
        <v>4499.2</v>
      </c>
      <c r="AZ85" s="175">
        <f t="shared" si="73"/>
        <v>35.01</v>
      </c>
      <c r="BA85" s="175">
        <f t="shared" si="74"/>
        <v>31.62</v>
      </c>
      <c r="BB85" s="175">
        <f t="shared" si="75"/>
        <v>35.01</v>
      </c>
      <c r="BC85" s="175">
        <f t="shared" si="76"/>
        <v>33.880000000000003</v>
      </c>
      <c r="BD85" s="175">
        <f t="shared" si="77"/>
        <v>35.01</v>
      </c>
      <c r="BE85" s="175">
        <f t="shared" si="78"/>
        <v>33.880000000000003</v>
      </c>
      <c r="BF85" s="175">
        <f t="shared" si="79"/>
        <v>35.01</v>
      </c>
      <c r="BG85" s="175">
        <f t="shared" si="80"/>
        <v>35.01</v>
      </c>
      <c r="BH85" s="175">
        <f t="shared" si="81"/>
        <v>33.880000000000003</v>
      </c>
      <c r="BI85" s="175">
        <f t="shared" si="82"/>
        <v>35.01</v>
      </c>
      <c r="BJ85" s="175">
        <f t="shared" si="83"/>
        <v>33.880000000000003</v>
      </c>
      <c r="BK85" s="175">
        <f t="shared" si="84"/>
        <v>35.01</v>
      </c>
      <c r="BL85" s="175">
        <f t="shared" si="85"/>
        <v>412.20999999999992</v>
      </c>
      <c r="BM85" s="175">
        <f t="shared" si="86"/>
        <v>4911.41</v>
      </c>
      <c r="BN85" s="175">
        <f t="shared" si="87"/>
        <v>35.01</v>
      </c>
      <c r="BO85" s="175">
        <f t="shared" si="88"/>
        <v>31.62</v>
      </c>
      <c r="BP85" s="175">
        <f t="shared" si="89"/>
        <v>35.01</v>
      </c>
      <c r="BQ85" s="175">
        <f t="shared" si="90"/>
        <v>33.880000000000003</v>
      </c>
      <c r="BR85" s="175">
        <f t="shared" si="91"/>
        <v>35.01</v>
      </c>
      <c r="BS85" s="175">
        <f t="shared" si="92"/>
        <v>33.880000000000003</v>
      </c>
      <c r="BT85" s="175">
        <f t="shared" si="93"/>
        <v>35.01</v>
      </c>
      <c r="BU85" s="175">
        <f t="shared" si="94"/>
        <v>35.01</v>
      </c>
      <c r="BV85" s="175">
        <f t="shared" si="95"/>
        <v>33.880000000000003</v>
      </c>
      <c r="BW85" s="175">
        <f t="shared" si="96"/>
        <v>35.01</v>
      </c>
      <c r="BX85" s="175">
        <f t="shared" si="97"/>
        <v>33.880000000000003</v>
      </c>
      <c r="BY85" s="175">
        <f t="shared" si="98"/>
        <v>35.01</v>
      </c>
      <c r="BZ85" s="175">
        <f t="shared" si="99"/>
        <v>412.20999999999992</v>
      </c>
      <c r="CA85" s="175">
        <f t="shared" si="100"/>
        <v>5323.62</v>
      </c>
      <c r="CB85" s="175">
        <f t="shared" si="101"/>
        <v>35.01</v>
      </c>
      <c r="CC85" s="175">
        <f t="shared" si="102"/>
        <v>32.75</v>
      </c>
      <c r="CD85" s="175">
        <f t="shared" si="103"/>
        <v>35.01</v>
      </c>
      <c r="CE85" s="175">
        <f t="shared" si="104"/>
        <v>33.880000000000003</v>
      </c>
      <c r="CF85" s="175">
        <f t="shared" si="105"/>
        <v>35.01</v>
      </c>
      <c r="CG85" s="175">
        <f t="shared" si="106"/>
        <v>33.880000000000003</v>
      </c>
      <c r="CH85" s="175">
        <f t="shared" si="107"/>
        <v>35.01</v>
      </c>
      <c r="CI85" s="175">
        <f t="shared" si="108"/>
        <v>35.01</v>
      </c>
      <c r="CJ85" s="175">
        <f t="shared" si="109"/>
        <v>33.880000000000003</v>
      </c>
      <c r="CK85" s="175">
        <f t="shared" si="110"/>
        <v>35.01</v>
      </c>
      <c r="CL85" s="175">
        <f t="shared" si="111"/>
        <v>33.880000000000003</v>
      </c>
      <c r="CM85" s="175">
        <f t="shared" si="112"/>
        <v>35.01</v>
      </c>
      <c r="CN85" s="175">
        <f t="shared" si="113"/>
        <v>413.33999999999992</v>
      </c>
      <c r="CO85" s="176">
        <f t="shared" si="114"/>
        <v>5736.96</v>
      </c>
      <c r="CP85" s="175">
        <f t="shared" si="115"/>
        <v>35.01</v>
      </c>
      <c r="CQ85" s="175">
        <f t="shared" si="116"/>
        <v>31.62</v>
      </c>
      <c r="CR85" s="175">
        <f t="shared" si="117"/>
        <v>35.01</v>
      </c>
      <c r="CS85" s="175">
        <f t="shared" si="118"/>
        <v>33.880000000000003</v>
      </c>
      <c r="CT85" s="177">
        <f t="shared" si="119"/>
        <v>35.01</v>
      </c>
      <c r="CU85" s="175">
        <f t="shared" si="120"/>
        <v>33.880000000000003</v>
      </c>
      <c r="CV85" s="175">
        <f t="shared" si="121"/>
        <v>35.01</v>
      </c>
      <c r="CW85" s="175">
        <f t="shared" si="122"/>
        <v>35.01</v>
      </c>
      <c r="CX85" s="175">
        <f t="shared" si="123"/>
        <v>33.880000000000003</v>
      </c>
      <c r="CY85" s="175">
        <f t="shared" si="124"/>
        <v>35.01</v>
      </c>
      <c r="CZ85" s="175">
        <f t="shared" si="125"/>
        <v>33.880000000000003</v>
      </c>
      <c r="DA85" s="175">
        <v>20.28</v>
      </c>
      <c r="DB85" s="176">
        <f t="shared" si="126"/>
        <v>397.4799999999999</v>
      </c>
      <c r="DC85" s="176">
        <f t="shared" si="127"/>
        <v>6134.44</v>
      </c>
      <c r="DD85" s="176"/>
      <c r="DE85" s="176"/>
      <c r="DF85" s="176"/>
      <c r="DG85" s="176"/>
      <c r="DH85" s="176"/>
      <c r="DI85" s="176"/>
      <c r="DJ85" s="176"/>
      <c r="DK85" s="176"/>
      <c r="DL85" s="176"/>
      <c r="DM85" s="176"/>
      <c r="DN85" s="176"/>
      <c r="DO85" s="176"/>
      <c r="DP85" s="176"/>
      <c r="DQ85" s="175">
        <f t="shared" si="128"/>
        <v>6134.44</v>
      </c>
      <c r="DR85" s="175">
        <f t="shared" si="129"/>
        <v>-3844.4399999999996</v>
      </c>
    </row>
    <row r="86" spans="2:122" s="129" customFormat="1" ht="28.5" customHeight="1">
      <c r="B86" s="174">
        <v>41262</v>
      </c>
      <c r="C86" s="36" t="s">
        <v>114</v>
      </c>
      <c r="D86" s="45" t="s">
        <v>667</v>
      </c>
      <c r="E86" s="22" t="s">
        <v>112</v>
      </c>
      <c r="F86" s="22" t="s">
        <v>668</v>
      </c>
      <c r="G86" s="86">
        <v>3940</v>
      </c>
      <c r="H86" s="86">
        <f t="shared" si="43"/>
        <v>394</v>
      </c>
      <c r="I86" s="86">
        <f t="shared" si="44"/>
        <v>3546</v>
      </c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>
        <f t="shared" si="58"/>
        <v>0</v>
      </c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>
        <f t="shared" si="130"/>
        <v>23.32</v>
      </c>
      <c r="AJ86" s="86">
        <f t="shared" si="59"/>
        <v>23.32</v>
      </c>
      <c r="AK86" s="86">
        <v>3546</v>
      </c>
      <c r="AL86" s="86">
        <v>3546</v>
      </c>
      <c r="AM86" s="175">
        <f t="shared" si="60"/>
        <v>54.4</v>
      </c>
      <c r="AN86" s="175">
        <f t="shared" si="61"/>
        <v>60.23</v>
      </c>
      <c r="AO86" s="175">
        <f t="shared" si="62"/>
        <v>58.29</v>
      </c>
      <c r="AP86" s="175">
        <f t="shared" si="63"/>
        <v>60.23</v>
      </c>
      <c r="AQ86" s="175">
        <f t="shared" si="64"/>
        <v>58.29</v>
      </c>
      <c r="AR86" s="175">
        <f t="shared" si="65"/>
        <v>60.23</v>
      </c>
      <c r="AS86" s="175">
        <f t="shared" si="66"/>
        <v>60.23</v>
      </c>
      <c r="AT86" s="175">
        <f t="shared" si="67"/>
        <v>58.29</v>
      </c>
      <c r="AU86" s="175">
        <f t="shared" si="68"/>
        <v>60.23</v>
      </c>
      <c r="AV86" s="175">
        <f t="shared" si="69"/>
        <v>58.29</v>
      </c>
      <c r="AW86" s="175">
        <f t="shared" si="70"/>
        <v>60.23</v>
      </c>
      <c r="AX86" s="175">
        <f t="shared" si="71"/>
        <v>4194.9399999999996</v>
      </c>
      <c r="AY86" s="175">
        <f t="shared" si="72"/>
        <v>7740.94</v>
      </c>
      <c r="AZ86" s="175">
        <f t="shared" si="73"/>
        <v>60.23</v>
      </c>
      <c r="BA86" s="175">
        <f t="shared" si="74"/>
        <v>54.4</v>
      </c>
      <c r="BB86" s="175">
        <f t="shared" si="75"/>
        <v>60.23</v>
      </c>
      <c r="BC86" s="175">
        <f t="shared" si="76"/>
        <v>58.29</v>
      </c>
      <c r="BD86" s="175">
        <f t="shared" si="77"/>
        <v>60.23</v>
      </c>
      <c r="BE86" s="175">
        <f t="shared" si="78"/>
        <v>58.29</v>
      </c>
      <c r="BF86" s="175">
        <f t="shared" si="79"/>
        <v>60.23</v>
      </c>
      <c r="BG86" s="175">
        <f t="shared" si="80"/>
        <v>60.23</v>
      </c>
      <c r="BH86" s="175">
        <f t="shared" si="81"/>
        <v>58.29</v>
      </c>
      <c r="BI86" s="175">
        <f t="shared" si="82"/>
        <v>60.23</v>
      </c>
      <c r="BJ86" s="175">
        <f t="shared" si="83"/>
        <v>58.29</v>
      </c>
      <c r="BK86" s="175">
        <f t="shared" si="84"/>
        <v>60.23</v>
      </c>
      <c r="BL86" s="175">
        <f t="shared" si="85"/>
        <v>709.17000000000007</v>
      </c>
      <c r="BM86" s="175">
        <f t="shared" si="86"/>
        <v>8450.11</v>
      </c>
      <c r="BN86" s="175">
        <f t="shared" si="87"/>
        <v>60.23</v>
      </c>
      <c r="BO86" s="175">
        <f t="shared" si="88"/>
        <v>54.4</v>
      </c>
      <c r="BP86" s="175">
        <f t="shared" si="89"/>
        <v>60.23</v>
      </c>
      <c r="BQ86" s="175">
        <f t="shared" si="90"/>
        <v>58.29</v>
      </c>
      <c r="BR86" s="175">
        <f t="shared" si="91"/>
        <v>60.23</v>
      </c>
      <c r="BS86" s="175">
        <f t="shared" si="92"/>
        <v>58.29</v>
      </c>
      <c r="BT86" s="175">
        <f t="shared" si="93"/>
        <v>60.23</v>
      </c>
      <c r="BU86" s="175">
        <f t="shared" si="94"/>
        <v>60.23</v>
      </c>
      <c r="BV86" s="175">
        <f t="shared" si="95"/>
        <v>58.29</v>
      </c>
      <c r="BW86" s="175">
        <f t="shared" si="96"/>
        <v>60.23</v>
      </c>
      <c r="BX86" s="175">
        <f t="shared" si="97"/>
        <v>58.29</v>
      </c>
      <c r="BY86" s="175">
        <f t="shared" si="98"/>
        <v>60.23</v>
      </c>
      <c r="BZ86" s="175">
        <f t="shared" si="99"/>
        <v>709.17000000000007</v>
      </c>
      <c r="CA86" s="175">
        <f t="shared" si="100"/>
        <v>9159.2800000000007</v>
      </c>
      <c r="CB86" s="175">
        <f t="shared" si="101"/>
        <v>60.23</v>
      </c>
      <c r="CC86" s="175">
        <f t="shared" si="102"/>
        <v>56.35</v>
      </c>
      <c r="CD86" s="175">
        <f t="shared" si="103"/>
        <v>60.23</v>
      </c>
      <c r="CE86" s="175">
        <f t="shared" si="104"/>
        <v>58.29</v>
      </c>
      <c r="CF86" s="175">
        <f t="shared" si="105"/>
        <v>60.23</v>
      </c>
      <c r="CG86" s="175">
        <f t="shared" si="106"/>
        <v>58.29</v>
      </c>
      <c r="CH86" s="175">
        <f t="shared" si="107"/>
        <v>60.23</v>
      </c>
      <c r="CI86" s="175">
        <f t="shared" si="108"/>
        <v>60.23</v>
      </c>
      <c r="CJ86" s="175">
        <f t="shared" si="109"/>
        <v>58.29</v>
      </c>
      <c r="CK86" s="175">
        <f t="shared" si="110"/>
        <v>60.23</v>
      </c>
      <c r="CL86" s="175">
        <f t="shared" si="111"/>
        <v>58.29</v>
      </c>
      <c r="CM86" s="175">
        <f t="shared" si="112"/>
        <v>60.23</v>
      </c>
      <c r="CN86" s="175">
        <f t="shared" si="113"/>
        <v>711.12</v>
      </c>
      <c r="CO86" s="176">
        <f t="shared" si="114"/>
        <v>9870.4</v>
      </c>
      <c r="CP86" s="175">
        <f t="shared" si="115"/>
        <v>60.23</v>
      </c>
      <c r="CQ86" s="175">
        <f t="shared" si="116"/>
        <v>54.4</v>
      </c>
      <c r="CR86" s="175">
        <f t="shared" si="117"/>
        <v>60.23</v>
      </c>
      <c r="CS86" s="175">
        <f t="shared" si="118"/>
        <v>58.29</v>
      </c>
      <c r="CT86" s="177">
        <f t="shared" si="119"/>
        <v>60.23</v>
      </c>
      <c r="CU86" s="175">
        <f t="shared" si="120"/>
        <v>58.29</v>
      </c>
      <c r="CV86" s="175">
        <f t="shared" si="121"/>
        <v>60.23</v>
      </c>
      <c r="CW86" s="175">
        <f t="shared" si="122"/>
        <v>60.23</v>
      </c>
      <c r="CX86" s="175">
        <f t="shared" si="123"/>
        <v>58.29</v>
      </c>
      <c r="CY86" s="175">
        <f t="shared" si="124"/>
        <v>60.23</v>
      </c>
      <c r="CZ86" s="175">
        <f t="shared" si="125"/>
        <v>58.29</v>
      </c>
      <c r="DA86" s="175">
        <v>35.11</v>
      </c>
      <c r="DB86" s="176">
        <f t="shared" si="126"/>
        <v>684.05000000000007</v>
      </c>
      <c r="DC86" s="176">
        <f t="shared" si="127"/>
        <v>10554.45</v>
      </c>
      <c r="DD86" s="176"/>
      <c r="DE86" s="176"/>
      <c r="DF86" s="176"/>
      <c r="DG86" s="176"/>
      <c r="DH86" s="176"/>
      <c r="DI86" s="176"/>
      <c r="DJ86" s="176"/>
      <c r="DK86" s="176"/>
      <c r="DL86" s="176"/>
      <c r="DM86" s="176"/>
      <c r="DN86" s="176"/>
      <c r="DO86" s="176"/>
      <c r="DP86" s="176"/>
      <c r="DQ86" s="175">
        <f t="shared" si="128"/>
        <v>10554.45</v>
      </c>
      <c r="DR86" s="175">
        <f t="shared" si="129"/>
        <v>-6614.4500000000007</v>
      </c>
    </row>
    <row r="87" spans="2:122" s="129" customFormat="1" ht="40.5" customHeight="1">
      <c r="B87" s="174">
        <v>41262</v>
      </c>
      <c r="C87" s="36" t="s">
        <v>114</v>
      </c>
      <c r="D87" s="45" t="s">
        <v>669</v>
      </c>
      <c r="E87" s="22" t="s">
        <v>112</v>
      </c>
      <c r="F87" s="22" t="s">
        <v>670</v>
      </c>
      <c r="G87" s="86">
        <v>3940</v>
      </c>
      <c r="H87" s="86">
        <f t="shared" si="43"/>
        <v>394</v>
      </c>
      <c r="I87" s="86">
        <f t="shared" si="44"/>
        <v>3546</v>
      </c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>
        <f t="shared" si="58"/>
        <v>0</v>
      </c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>
        <f t="shared" si="130"/>
        <v>23.32</v>
      </c>
      <c r="AJ87" s="86">
        <f t="shared" si="59"/>
        <v>23.32</v>
      </c>
      <c r="AK87" s="86">
        <v>3546</v>
      </c>
      <c r="AL87" s="86">
        <v>3546</v>
      </c>
      <c r="AM87" s="175">
        <f t="shared" si="60"/>
        <v>54.4</v>
      </c>
      <c r="AN87" s="175">
        <f t="shared" si="61"/>
        <v>60.23</v>
      </c>
      <c r="AO87" s="175">
        <f t="shared" si="62"/>
        <v>58.29</v>
      </c>
      <c r="AP87" s="175">
        <f t="shared" si="63"/>
        <v>60.23</v>
      </c>
      <c r="AQ87" s="175">
        <f t="shared" si="64"/>
        <v>58.29</v>
      </c>
      <c r="AR87" s="175">
        <f t="shared" si="65"/>
        <v>60.23</v>
      </c>
      <c r="AS87" s="175">
        <f t="shared" si="66"/>
        <v>60.23</v>
      </c>
      <c r="AT87" s="175">
        <f t="shared" si="67"/>
        <v>58.29</v>
      </c>
      <c r="AU87" s="175">
        <f t="shared" si="68"/>
        <v>60.23</v>
      </c>
      <c r="AV87" s="175">
        <f t="shared" si="69"/>
        <v>58.29</v>
      </c>
      <c r="AW87" s="175">
        <f t="shared" si="70"/>
        <v>60.23</v>
      </c>
      <c r="AX87" s="175">
        <f t="shared" si="71"/>
        <v>4194.9399999999996</v>
      </c>
      <c r="AY87" s="175">
        <f t="shared" si="72"/>
        <v>7740.94</v>
      </c>
      <c r="AZ87" s="175">
        <f t="shared" si="73"/>
        <v>60.23</v>
      </c>
      <c r="BA87" s="175">
        <f t="shared" si="74"/>
        <v>54.4</v>
      </c>
      <c r="BB87" s="175">
        <f t="shared" si="75"/>
        <v>60.23</v>
      </c>
      <c r="BC87" s="175">
        <f t="shared" si="76"/>
        <v>58.29</v>
      </c>
      <c r="BD87" s="175">
        <f t="shared" si="77"/>
        <v>60.23</v>
      </c>
      <c r="BE87" s="175">
        <f t="shared" si="78"/>
        <v>58.29</v>
      </c>
      <c r="BF87" s="175">
        <f t="shared" si="79"/>
        <v>60.23</v>
      </c>
      <c r="BG87" s="175">
        <f t="shared" si="80"/>
        <v>60.23</v>
      </c>
      <c r="BH87" s="175">
        <f t="shared" si="81"/>
        <v>58.29</v>
      </c>
      <c r="BI87" s="175">
        <f t="shared" si="82"/>
        <v>60.23</v>
      </c>
      <c r="BJ87" s="175">
        <f t="shared" si="83"/>
        <v>58.29</v>
      </c>
      <c r="BK87" s="175">
        <f t="shared" si="84"/>
        <v>60.23</v>
      </c>
      <c r="BL87" s="175">
        <f t="shared" si="85"/>
        <v>709.17000000000007</v>
      </c>
      <c r="BM87" s="175">
        <f t="shared" si="86"/>
        <v>8450.11</v>
      </c>
      <c r="BN87" s="175">
        <f t="shared" si="87"/>
        <v>60.23</v>
      </c>
      <c r="BO87" s="175">
        <f t="shared" si="88"/>
        <v>54.4</v>
      </c>
      <c r="BP87" s="175">
        <f t="shared" si="89"/>
        <v>60.23</v>
      </c>
      <c r="BQ87" s="175">
        <f t="shared" si="90"/>
        <v>58.29</v>
      </c>
      <c r="BR87" s="175">
        <f t="shared" si="91"/>
        <v>60.23</v>
      </c>
      <c r="BS87" s="175">
        <f t="shared" si="92"/>
        <v>58.29</v>
      </c>
      <c r="BT87" s="175">
        <f t="shared" si="93"/>
        <v>60.23</v>
      </c>
      <c r="BU87" s="175">
        <f t="shared" si="94"/>
        <v>60.23</v>
      </c>
      <c r="BV87" s="175">
        <f t="shared" si="95"/>
        <v>58.29</v>
      </c>
      <c r="BW87" s="175">
        <f t="shared" si="96"/>
        <v>60.23</v>
      </c>
      <c r="BX87" s="175">
        <f t="shared" si="97"/>
        <v>58.29</v>
      </c>
      <c r="BY87" s="175">
        <f t="shared" si="98"/>
        <v>60.23</v>
      </c>
      <c r="BZ87" s="175">
        <f t="shared" si="99"/>
        <v>709.17000000000007</v>
      </c>
      <c r="CA87" s="175">
        <f t="shared" si="100"/>
        <v>9159.2800000000007</v>
      </c>
      <c r="CB87" s="175">
        <f t="shared" si="101"/>
        <v>60.23</v>
      </c>
      <c r="CC87" s="175">
        <f t="shared" si="102"/>
        <v>56.35</v>
      </c>
      <c r="CD87" s="175">
        <f t="shared" si="103"/>
        <v>60.23</v>
      </c>
      <c r="CE87" s="175">
        <f t="shared" si="104"/>
        <v>58.29</v>
      </c>
      <c r="CF87" s="175">
        <f t="shared" si="105"/>
        <v>60.23</v>
      </c>
      <c r="CG87" s="175">
        <f t="shared" si="106"/>
        <v>58.29</v>
      </c>
      <c r="CH87" s="175">
        <f t="shared" si="107"/>
        <v>60.23</v>
      </c>
      <c r="CI87" s="175">
        <f t="shared" si="108"/>
        <v>60.23</v>
      </c>
      <c r="CJ87" s="175">
        <f t="shared" si="109"/>
        <v>58.29</v>
      </c>
      <c r="CK87" s="175">
        <f t="shared" si="110"/>
        <v>60.23</v>
      </c>
      <c r="CL87" s="175">
        <f t="shared" si="111"/>
        <v>58.29</v>
      </c>
      <c r="CM87" s="175">
        <f t="shared" si="112"/>
        <v>60.23</v>
      </c>
      <c r="CN87" s="175">
        <f t="shared" si="113"/>
        <v>711.12</v>
      </c>
      <c r="CO87" s="176">
        <f t="shared" si="114"/>
        <v>9870.4</v>
      </c>
      <c r="CP87" s="175">
        <f t="shared" si="115"/>
        <v>60.23</v>
      </c>
      <c r="CQ87" s="175">
        <f t="shared" si="116"/>
        <v>54.4</v>
      </c>
      <c r="CR87" s="175">
        <f t="shared" si="117"/>
        <v>60.23</v>
      </c>
      <c r="CS87" s="175">
        <f t="shared" si="118"/>
        <v>58.29</v>
      </c>
      <c r="CT87" s="177">
        <f t="shared" si="119"/>
        <v>60.23</v>
      </c>
      <c r="CU87" s="175">
        <f t="shared" si="120"/>
        <v>58.29</v>
      </c>
      <c r="CV87" s="175">
        <f t="shared" si="121"/>
        <v>60.23</v>
      </c>
      <c r="CW87" s="175">
        <f t="shared" si="122"/>
        <v>60.23</v>
      </c>
      <c r="CX87" s="175">
        <f t="shared" si="123"/>
        <v>58.29</v>
      </c>
      <c r="CY87" s="175">
        <f t="shared" si="124"/>
        <v>60.23</v>
      </c>
      <c r="CZ87" s="175">
        <f t="shared" si="125"/>
        <v>58.29</v>
      </c>
      <c r="DA87" s="175">
        <v>35.11</v>
      </c>
      <c r="DB87" s="176">
        <f t="shared" si="126"/>
        <v>684.05000000000007</v>
      </c>
      <c r="DC87" s="176">
        <f t="shared" si="127"/>
        <v>10554.45</v>
      </c>
      <c r="DD87" s="176"/>
      <c r="DE87" s="176"/>
      <c r="DF87" s="176"/>
      <c r="DG87" s="176"/>
      <c r="DH87" s="176"/>
      <c r="DI87" s="176"/>
      <c r="DJ87" s="176"/>
      <c r="DK87" s="176"/>
      <c r="DL87" s="176"/>
      <c r="DM87" s="176"/>
      <c r="DN87" s="176"/>
      <c r="DO87" s="176"/>
      <c r="DP87" s="176"/>
      <c r="DQ87" s="175">
        <f t="shared" si="128"/>
        <v>10554.45</v>
      </c>
      <c r="DR87" s="175">
        <f t="shared" si="129"/>
        <v>-6614.4500000000007</v>
      </c>
    </row>
    <row r="88" spans="2:122" s="129" customFormat="1" ht="24.75" customHeight="1">
      <c r="B88" s="174">
        <v>41262</v>
      </c>
      <c r="C88" s="36" t="s">
        <v>114</v>
      </c>
      <c r="D88" s="45" t="s">
        <v>671</v>
      </c>
      <c r="E88" s="22" t="s">
        <v>112</v>
      </c>
      <c r="F88" s="22" t="s">
        <v>672</v>
      </c>
      <c r="G88" s="86">
        <v>3940</v>
      </c>
      <c r="H88" s="86">
        <f t="shared" si="43"/>
        <v>394</v>
      </c>
      <c r="I88" s="86">
        <f t="shared" si="44"/>
        <v>3546</v>
      </c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>
        <f t="shared" si="58"/>
        <v>0</v>
      </c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>
        <f t="shared" si="130"/>
        <v>23.32</v>
      </c>
      <c r="AJ88" s="86">
        <f t="shared" si="59"/>
        <v>23.32</v>
      </c>
      <c r="AK88" s="86">
        <v>3546</v>
      </c>
      <c r="AL88" s="86">
        <v>3546</v>
      </c>
      <c r="AM88" s="175">
        <f t="shared" si="60"/>
        <v>54.4</v>
      </c>
      <c r="AN88" s="175">
        <f t="shared" si="61"/>
        <v>60.23</v>
      </c>
      <c r="AO88" s="175">
        <f t="shared" si="62"/>
        <v>58.29</v>
      </c>
      <c r="AP88" s="175">
        <f t="shared" si="63"/>
        <v>60.23</v>
      </c>
      <c r="AQ88" s="175">
        <f t="shared" si="64"/>
        <v>58.29</v>
      </c>
      <c r="AR88" s="175">
        <f t="shared" si="65"/>
        <v>60.23</v>
      </c>
      <c r="AS88" s="175">
        <f t="shared" si="66"/>
        <v>60.23</v>
      </c>
      <c r="AT88" s="175">
        <f t="shared" si="67"/>
        <v>58.29</v>
      </c>
      <c r="AU88" s="175">
        <f t="shared" si="68"/>
        <v>60.23</v>
      </c>
      <c r="AV88" s="175">
        <f t="shared" si="69"/>
        <v>58.29</v>
      </c>
      <c r="AW88" s="175">
        <f t="shared" si="70"/>
        <v>60.23</v>
      </c>
      <c r="AX88" s="175">
        <f t="shared" si="71"/>
        <v>4194.9399999999996</v>
      </c>
      <c r="AY88" s="175">
        <f t="shared" si="72"/>
        <v>7740.94</v>
      </c>
      <c r="AZ88" s="175">
        <f t="shared" si="73"/>
        <v>60.23</v>
      </c>
      <c r="BA88" s="175">
        <f t="shared" si="74"/>
        <v>54.4</v>
      </c>
      <c r="BB88" s="175">
        <f t="shared" si="75"/>
        <v>60.23</v>
      </c>
      <c r="BC88" s="175">
        <f t="shared" si="76"/>
        <v>58.29</v>
      </c>
      <c r="BD88" s="175">
        <f t="shared" si="77"/>
        <v>60.23</v>
      </c>
      <c r="BE88" s="175">
        <f t="shared" si="78"/>
        <v>58.29</v>
      </c>
      <c r="BF88" s="175">
        <f t="shared" si="79"/>
        <v>60.23</v>
      </c>
      <c r="BG88" s="175">
        <f t="shared" si="80"/>
        <v>60.23</v>
      </c>
      <c r="BH88" s="175">
        <f t="shared" si="81"/>
        <v>58.29</v>
      </c>
      <c r="BI88" s="175">
        <f t="shared" si="82"/>
        <v>60.23</v>
      </c>
      <c r="BJ88" s="175">
        <f t="shared" si="83"/>
        <v>58.29</v>
      </c>
      <c r="BK88" s="175">
        <f t="shared" si="84"/>
        <v>60.23</v>
      </c>
      <c r="BL88" s="175">
        <f t="shared" si="85"/>
        <v>709.17000000000007</v>
      </c>
      <c r="BM88" s="175">
        <f t="shared" si="86"/>
        <v>8450.11</v>
      </c>
      <c r="BN88" s="175">
        <f t="shared" si="87"/>
        <v>60.23</v>
      </c>
      <c r="BO88" s="175">
        <f t="shared" si="88"/>
        <v>54.4</v>
      </c>
      <c r="BP88" s="175">
        <f t="shared" si="89"/>
        <v>60.23</v>
      </c>
      <c r="BQ88" s="175">
        <f t="shared" si="90"/>
        <v>58.29</v>
      </c>
      <c r="BR88" s="175">
        <f t="shared" si="91"/>
        <v>60.23</v>
      </c>
      <c r="BS88" s="175">
        <f t="shared" si="92"/>
        <v>58.29</v>
      </c>
      <c r="BT88" s="175">
        <f t="shared" si="93"/>
        <v>60.23</v>
      </c>
      <c r="BU88" s="175">
        <f t="shared" si="94"/>
        <v>60.23</v>
      </c>
      <c r="BV88" s="175">
        <f t="shared" si="95"/>
        <v>58.29</v>
      </c>
      <c r="BW88" s="175">
        <f t="shared" si="96"/>
        <v>60.23</v>
      </c>
      <c r="BX88" s="175">
        <f t="shared" si="97"/>
        <v>58.29</v>
      </c>
      <c r="BY88" s="175">
        <f t="shared" si="98"/>
        <v>60.23</v>
      </c>
      <c r="BZ88" s="175">
        <f t="shared" si="99"/>
        <v>709.17000000000007</v>
      </c>
      <c r="CA88" s="175">
        <f t="shared" si="100"/>
        <v>9159.2800000000007</v>
      </c>
      <c r="CB88" s="175">
        <f t="shared" si="101"/>
        <v>60.23</v>
      </c>
      <c r="CC88" s="175">
        <f t="shared" si="102"/>
        <v>56.35</v>
      </c>
      <c r="CD88" s="175">
        <f t="shared" si="103"/>
        <v>60.23</v>
      </c>
      <c r="CE88" s="175">
        <f t="shared" si="104"/>
        <v>58.29</v>
      </c>
      <c r="CF88" s="175">
        <f t="shared" si="105"/>
        <v>60.23</v>
      </c>
      <c r="CG88" s="175">
        <f t="shared" si="106"/>
        <v>58.29</v>
      </c>
      <c r="CH88" s="175">
        <f t="shared" si="107"/>
        <v>60.23</v>
      </c>
      <c r="CI88" s="175">
        <f t="shared" si="108"/>
        <v>60.23</v>
      </c>
      <c r="CJ88" s="175">
        <f t="shared" si="109"/>
        <v>58.29</v>
      </c>
      <c r="CK88" s="175">
        <f t="shared" si="110"/>
        <v>60.23</v>
      </c>
      <c r="CL88" s="175">
        <f t="shared" si="111"/>
        <v>58.29</v>
      </c>
      <c r="CM88" s="175">
        <f t="shared" si="112"/>
        <v>60.23</v>
      </c>
      <c r="CN88" s="175">
        <f t="shared" si="113"/>
        <v>711.12</v>
      </c>
      <c r="CO88" s="176">
        <f t="shared" si="114"/>
        <v>9870.4</v>
      </c>
      <c r="CP88" s="175">
        <f t="shared" si="115"/>
        <v>60.23</v>
      </c>
      <c r="CQ88" s="175">
        <f t="shared" si="116"/>
        <v>54.4</v>
      </c>
      <c r="CR88" s="175">
        <f t="shared" si="117"/>
        <v>60.23</v>
      </c>
      <c r="CS88" s="175">
        <f t="shared" si="118"/>
        <v>58.29</v>
      </c>
      <c r="CT88" s="177">
        <f t="shared" si="119"/>
        <v>60.23</v>
      </c>
      <c r="CU88" s="175">
        <f t="shared" si="120"/>
        <v>58.29</v>
      </c>
      <c r="CV88" s="175">
        <f t="shared" si="121"/>
        <v>60.23</v>
      </c>
      <c r="CW88" s="175">
        <f t="shared" si="122"/>
        <v>60.23</v>
      </c>
      <c r="CX88" s="175">
        <f t="shared" si="123"/>
        <v>58.29</v>
      </c>
      <c r="CY88" s="175">
        <f t="shared" si="124"/>
        <v>60.23</v>
      </c>
      <c r="CZ88" s="175">
        <f t="shared" si="125"/>
        <v>58.29</v>
      </c>
      <c r="DA88" s="175">
        <v>35.11</v>
      </c>
      <c r="DB88" s="176">
        <f t="shared" si="126"/>
        <v>684.05000000000007</v>
      </c>
      <c r="DC88" s="176">
        <f t="shared" si="127"/>
        <v>10554.45</v>
      </c>
      <c r="DD88" s="176"/>
      <c r="DE88" s="176"/>
      <c r="DF88" s="176"/>
      <c r="DG88" s="176"/>
      <c r="DH88" s="176"/>
      <c r="DI88" s="176"/>
      <c r="DJ88" s="176"/>
      <c r="DK88" s="176"/>
      <c r="DL88" s="176"/>
      <c r="DM88" s="176"/>
      <c r="DN88" s="176"/>
      <c r="DO88" s="176"/>
      <c r="DP88" s="176"/>
      <c r="DQ88" s="175">
        <f t="shared" si="128"/>
        <v>10554.45</v>
      </c>
      <c r="DR88" s="175">
        <f t="shared" si="129"/>
        <v>-6614.4500000000007</v>
      </c>
    </row>
    <row r="89" spans="2:122" s="129" customFormat="1" ht="42.75" customHeight="1">
      <c r="B89" s="174">
        <v>41262</v>
      </c>
      <c r="C89" s="36" t="s">
        <v>673</v>
      </c>
      <c r="D89" s="47" t="s">
        <v>674</v>
      </c>
      <c r="E89" s="22" t="s">
        <v>98</v>
      </c>
      <c r="F89" s="22" t="s">
        <v>675</v>
      </c>
      <c r="G89" s="86">
        <v>4500</v>
      </c>
      <c r="H89" s="86">
        <f t="shared" si="43"/>
        <v>450</v>
      </c>
      <c r="I89" s="86">
        <f t="shared" si="44"/>
        <v>4050</v>
      </c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>
        <f t="shared" si="58"/>
        <v>0</v>
      </c>
      <c r="X89" s="86"/>
      <c r="Y89" s="86"/>
      <c r="Z89" s="86"/>
      <c r="AA89" s="86"/>
      <c r="AB89" s="86"/>
      <c r="AC89" s="86"/>
      <c r="AD89" s="86"/>
      <c r="AE89" s="86"/>
      <c r="AF89" s="86"/>
      <c r="AG89" s="86"/>
      <c r="AH89" s="86"/>
      <c r="AI89" s="86">
        <f t="shared" si="130"/>
        <v>26.63</v>
      </c>
      <c r="AJ89" s="86">
        <f t="shared" si="59"/>
        <v>26.63</v>
      </c>
      <c r="AK89" s="86">
        <v>4050</v>
      </c>
      <c r="AL89" s="86">
        <v>4050</v>
      </c>
      <c r="AM89" s="175">
        <f t="shared" si="60"/>
        <v>62.14</v>
      </c>
      <c r="AN89" s="175">
        <f t="shared" si="61"/>
        <v>68.790000000000006</v>
      </c>
      <c r="AO89" s="175">
        <f t="shared" si="62"/>
        <v>66.58</v>
      </c>
      <c r="AP89" s="175">
        <f t="shared" si="63"/>
        <v>68.790000000000006</v>
      </c>
      <c r="AQ89" s="175">
        <f t="shared" si="64"/>
        <v>66.58</v>
      </c>
      <c r="AR89" s="175">
        <f t="shared" si="65"/>
        <v>68.790000000000006</v>
      </c>
      <c r="AS89" s="175">
        <f t="shared" si="66"/>
        <v>68.790000000000006</v>
      </c>
      <c r="AT89" s="175">
        <f t="shared" si="67"/>
        <v>66.58</v>
      </c>
      <c r="AU89" s="175">
        <f t="shared" si="68"/>
        <v>68.790000000000006</v>
      </c>
      <c r="AV89" s="175">
        <f t="shared" si="69"/>
        <v>66.58</v>
      </c>
      <c r="AW89" s="175">
        <f t="shared" si="70"/>
        <v>68.790000000000006</v>
      </c>
      <c r="AX89" s="175">
        <f t="shared" si="71"/>
        <v>4791.2</v>
      </c>
      <c r="AY89" s="175">
        <f t="shared" si="72"/>
        <v>8841.2000000000007</v>
      </c>
      <c r="AZ89" s="175">
        <f t="shared" si="73"/>
        <v>68.790000000000006</v>
      </c>
      <c r="BA89" s="175">
        <f t="shared" si="74"/>
        <v>62.14</v>
      </c>
      <c r="BB89" s="175">
        <f t="shared" si="75"/>
        <v>68.790000000000006</v>
      </c>
      <c r="BC89" s="175">
        <f t="shared" si="76"/>
        <v>66.58</v>
      </c>
      <c r="BD89" s="175">
        <f t="shared" si="77"/>
        <v>68.790000000000006</v>
      </c>
      <c r="BE89" s="175">
        <f t="shared" si="78"/>
        <v>66.58</v>
      </c>
      <c r="BF89" s="175">
        <f t="shared" si="79"/>
        <v>68.790000000000006</v>
      </c>
      <c r="BG89" s="175">
        <f t="shared" si="80"/>
        <v>68.790000000000006</v>
      </c>
      <c r="BH89" s="175">
        <f t="shared" si="81"/>
        <v>66.58</v>
      </c>
      <c r="BI89" s="175">
        <f t="shared" si="82"/>
        <v>68.790000000000006</v>
      </c>
      <c r="BJ89" s="175">
        <f t="shared" si="83"/>
        <v>66.58</v>
      </c>
      <c r="BK89" s="175">
        <f t="shared" si="84"/>
        <v>68.790000000000006</v>
      </c>
      <c r="BL89" s="175">
        <f t="shared" si="85"/>
        <v>809.99</v>
      </c>
      <c r="BM89" s="175">
        <f t="shared" si="86"/>
        <v>9651.19</v>
      </c>
      <c r="BN89" s="175">
        <f t="shared" si="87"/>
        <v>68.790000000000006</v>
      </c>
      <c r="BO89" s="175">
        <f t="shared" si="88"/>
        <v>62.14</v>
      </c>
      <c r="BP89" s="175">
        <f t="shared" si="89"/>
        <v>68.790000000000006</v>
      </c>
      <c r="BQ89" s="175">
        <f t="shared" si="90"/>
        <v>66.58</v>
      </c>
      <c r="BR89" s="175">
        <f t="shared" si="91"/>
        <v>68.790000000000006</v>
      </c>
      <c r="BS89" s="175">
        <f t="shared" si="92"/>
        <v>66.58</v>
      </c>
      <c r="BT89" s="175">
        <f t="shared" si="93"/>
        <v>68.790000000000006</v>
      </c>
      <c r="BU89" s="175">
        <f t="shared" si="94"/>
        <v>68.790000000000006</v>
      </c>
      <c r="BV89" s="175">
        <f t="shared" si="95"/>
        <v>66.58</v>
      </c>
      <c r="BW89" s="175">
        <f t="shared" si="96"/>
        <v>68.790000000000006</v>
      </c>
      <c r="BX89" s="175">
        <f t="shared" si="97"/>
        <v>66.58</v>
      </c>
      <c r="BY89" s="175">
        <f t="shared" si="98"/>
        <v>68.790000000000006</v>
      </c>
      <c r="BZ89" s="175">
        <f t="shared" si="99"/>
        <v>809.99</v>
      </c>
      <c r="CA89" s="175">
        <f t="shared" si="100"/>
        <v>10461.18</v>
      </c>
      <c r="CB89" s="175">
        <f t="shared" si="101"/>
        <v>68.790000000000006</v>
      </c>
      <c r="CC89" s="175">
        <f t="shared" si="102"/>
        <v>64.36</v>
      </c>
      <c r="CD89" s="175">
        <f t="shared" si="103"/>
        <v>68.790000000000006</v>
      </c>
      <c r="CE89" s="175">
        <f t="shared" si="104"/>
        <v>66.58</v>
      </c>
      <c r="CF89" s="175">
        <f t="shared" si="105"/>
        <v>68.790000000000006</v>
      </c>
      <c r="CG89" s="175">
        <f t="shared" si="106"/>
        <v>66.58</v>
      </c>
      <c r="CH89" s="175">
        <f t="shared" si="107"/>
        <v>68.790000000000006</v>
      </c>
      <c r="CI89" s="175">
        <f t="shared" si="108"/>
        <v>68.790000000000006</v>
      </c>
      <c r="CJ89" s="175">
        <f t="shared" si="109"/>
        <v>66.58</v>
      </c>
      <c r="CK89" s="175">
        <f t="shared" si="110"/>
        <v>68.790000000000006</v>
      </c>
      <c r="CL89" s="175">
        <f t="shared" si="111"/>
        <v>66.58</v>
      </c>
      <c r="CM89" s="175">
        <f t="shared" si="112"/>
        <v>68.790000000000006</v>
      </c>
      <c r="CN89" s="175">
        <f t="shared" si="113"/>
        <v>812.21</v>
      </c>
      <c r="CO89" s="176">
        <f t="shared" si="114"/>
        <v>11273.39</v>
      </c>
      <c r="CP89" s="175">
        <f t="shared" si="115"/>
        <v>68.790000000000006</v>
      </c>
      <c r="CQ89" s="175">
        <f t="shared" si="116"/>
        <v>62.14</v>
      </c>
      <c r="CR89" s="175">
        <f t="shared" si="117"/>
        <v>68.790000000000006</v>
      </c>
      <c r="CS89" s="175">
        <f t="shared" si="118"/>
        <v>66.58</v>
      </c>
      <c r="CT89" s="177">
        <f t="shared" si="119"/>
        <v>68.790000000000006</v>
      </c>
      <c r="CU89" s="175">
        <f t="shared" si="120"/>
        <v>66.58</v>
      </c>
      <c r="CV89" s="175">
        <f t="shared" si="121"/>
        <v>68.790000000000006</v>
      </c>
      <c r="CW89" s="175">
        <f t="shared" si="122"/>
        <v>68.790000000000006</v>
      </c>
      <c r="CX89" s="175">
        <f t="shared" si="123"/>
        <v>66.58</v>
      </c>
      <c r="CY89" s="175">
        <f t="shared" si="124"/>
        <v>68.790000000000006</v>
      </c>
      <c r="CZ89" s="175">
        <f t="shared" si="125"/>
        <v>66.58</v>
      </c>
      <c r="DA89" s="175">
        <v>39.99</v>
      </c>
      <c r="DB89" s="176">
        <f t="shared" si="126"/>
        <v>781.19</v>
      </c>
      <c r="DC89" s="176">
        <f t="shared" si="127"/>
        <v>12054.58</v>
      </c>
      <c r="DD89" s="176"/>
      <c r="DE89" s="176"/>
      <c r="DF89" s="176"/>
      <c r="DG89" s="176"/>
      <c r="DH89" s="176"/>
      <c r="DI89" s="176"/>
      <c r="DJ89" s="176"/>
      <c r="DK89" s="176"/>
      <c r="DL89" s="176"/>
      <c r="DM89" s="176"/>
      <c r="DN89" s="176"/>
      <c r="DO89" s="176"/>
      <c r="DP89" s="176"/>
      <c r="DQ89" s="175">
        <f t="shared" si="128"/>
        <v>12054.58</v>
      </c>
      <c r="DR89" s="175">
        <f t="shared" si="129"/>
        <v>-7554.58</v>
      </c>
    </row>
    <row r="90" spans="2:122" s="129" customFormat="1" ht="12.75" customHeight="1">
      <c r="B90" s="178">
        <v>41264</v>
      </c>
      <c r="C90" s="47" t="s">
        <v>676</v>
      </c>
      <c r="D90" s="47" t="s">
        <v>677</v>
      </c>
      <c r="E90" s="22" t="s">
        <v>121</v>
      </c>
      <c r="F90" s="22" t="s">
        <v>678</v>
      </c>
      <c r="G90" s="86">
        <v>1850</v>
      </c>
      <c r="H90" s="86">
        <f t="shared" si="43"/>
        <v>185</v>
      </c>
      <c r="I90" s="86">
        <f t="shared" si="44"/>
        <v>1665</v>
      </c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>
        <f t="shared" si="58"/>
        <v>0</v>
      </c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>
        <f>ROUND((I90/5/365*10),2)</f>
        <v>9.1199999999999992</v>
      </c>
      <c r="AJ90" s="86">
        <f t="shared" si="59"/>
        <v>9.1199999999999992</v>
      </c>
      <c r="AK90" s="86">
        <v>1665</v>
      </c>
      <c r="AL90" s="86">
        <v>1665</v>
      </c>
      <c r="AM90" s="175">
        <f t="shared" si="60"/>
        <v>25.55</v>
      </c>
      <c r="AN90" s="175">
        <f t="shared" si="61"/>
        <v>28.28</v>
      </c>
      <c r="AO90" s="175">
        <f t="shared" si="62"/>
        <v>27.37</v>
      </c>
      <c r="AP90" s="175">
        <f t="shared" si="63"/>
        <v>28.28</v>
      </c>
      <c r="AQ90" s="175">
        <f t="shared" si="64"/>
        <v>27.37</v>
      </c>
      <c r="AR90" s="175">
        <f t="shared" si="65"/>
        <v>28.28</v>
      </c>
      <c r="AS90" s="175">
        <f t="shared" si="66"/>
        <v>28.28</v>
      </c>
      <c r="AT90" s="175">
        <f t="shared" si="67"/>
        <v>27.37</v>
      </c>
      <c r="AU90" s="175">
        <f t="shared" si="68"/>
        <v>28.28</v>
      </c>
      <c r="AV90" s="175">
        <f t="shared" si="69"/>
        <v>27.37</v>
      </c>
      <c r="AW90" s="175">
        <f t="shared" si="70"/>
        <v>28.28</v>
      </c>
      <c r="AX90" s="175">
        <f t="shared" si="71"/>
        <v>1969.7099999999994</v>
      </c>
      <c r="AY90" s="175">
        <f t="shared" si="72"/>
        <v>3634.71</v>
      </c>
      <c r="AZ90" s="175">
        <f t="shared" si="73"/>
        <v>28.28</v>
      </c>
      <c r="BA90" s="175">
        <f t="shared" si="74"/>
        <v>25.55</v>
      </c>
      <c r="BB90" s="175">
        <f t="shared" si="75"/>
        <v>28.28</v>
      </c>
      <c r="BC90" s="175">
        <f t="shared" si="76"/>
        <v>27.37</v>
      </c>
      <c r="BD90" s="175">
        <f t="shared" si="77"/>
        <v>28.28</v>
      </c>
      <c r="BE90" s="175">
        <f t="shared" si="78"/>
        <v>27.37</v>
      </c>
      <c r="BF90" s="175">
        <f t="shared" si="79"/>
        <v>28.28</v>
      </c>
      <c r="BG90" s="175">
        <f t="shared" si="80"/>
        <v>28.28</v>
      </c>
      <c r="BH90" s="175">
        <f t="shared" si="81"/>
        <v>27.37</v>
      </c>
      <c r="BI90" s="175">
        <f t="shared" si="82"/>
        <v>28.28</v>
      </c>
      <c r="BJ90" s="175">
        <f t="shared" si="83"/>
        <v>27.37</v>
      </c>
      <c r="BK90" s="175">
        <f t="shared" si="84"/>
        <v>28.28</v>
      </c>
      <c r="BL90" s="175">
        <f t="shared" si="85"/>
        <v>332.99</v>
      </c>
      <c r="BM90" s="175">
        <f t="shared" si="86"/>
        <v>3967.7</v>
      </c>
      <c r="BN90" s="175">
        <f t="shared" si="87"/>
        <v>28.28</v>
      </c>
      <c r="BO90" s="175">
        <f t="shared" si="88"/>
        <v>25.55</v>
      </c>
      <c r="BP90" s="175">
        <f t="shared" si="89"/>
        <v>28.28</v>
      </c>
      <c r="BQ90" s="175">
        <f t="shared" si="90"/>
        <v>27.37</v>
      </c>
      <c r="BR90" s="175">
        <f t="shared" si="91"/>
        <v>28.28</v>
      </c>
      <c r="BS90" s="175">
        <f t="shared" si="92"/>
        <v>27.37</v>
      </c>
      <c r="BT90" s="175">
        <f t="shared" si="93"/>
        <v>28.28</v>
      </c>
      <c r="BU90" s="175">
        <f t="shared" si="94"/>
        <v>28.28</v>
      </c>
      <c r="BV90" s="175">
        <f t="shared" si="95"/>
        <v>27.37</v>
      </c>
      <c r="BW90" s="175">
        <f t="shared" si="96"/>
        <v>28.28</v>
      </c>
      <c r="BX90" s="175">
        <f t="shared" si="97"/>
        <v>27.37</v>
      </c>
      <c r="BY90" s="175">
        <f t="shared" si="98"/>
        <v>28.28</v>
      </c>
      <c r="BZ90" s="175">
        <f t="shared" si="99"/>
        <v>332.99</v>
      </c>
      <c r="CA90" s="175">
        <f t="shared" si="100"/>
        <v>4300.6899999999996</v>
      </c>
      <c r="CB90" s="175">
        <f t="shared" si="101"/>
        <v>28.28</v>
      </c>
      <c r="CC90" s="175">
        <f t="shared" si="102"/>
        <v>26.46</v>
      </c>
      <c r="CD90" s="175">
        <f t="shared" si="103"/>
        <v>28.28</v>
      </c>
      <c r="CE90" s="175">
        <f t="shared" si="104"/>
        <v>27.37</v>
      </c>
      <c r="CF90" s="175">
        <f t="shared" si="105"/>
        <v>28.28</v>
      </c>
      <c r="CG90" s="175">
        <f t="shared" si="106"/>
        <v>27.37</v>
      </c>
      <c r="CH90" s="175">
        <f t="shared" si="107"/>
        <v>28.28</v>
      </c>
      <c r="CI90" s="175">
        <f t="shared" si="108"/>
        <v>28.28</v>
      </c>
      <c r="CJ90" s="175">
        <f t="shared" si="109"/>
        <v>27.37</v>
      </c>
      <c r="CK90" s="175">
        <f t="shared" si="110"/>
        <v>28.28</v>
      </c>
      <c r="CL90" s="175">
        <f t="shared" si="111"/>
        <v>27.37</v>
      </c>
      <c r="CM90" s="175">
        <f t="shared" si="112"/>
        <v>28.28</v>
      </c>
      <c r="CN90" s="175">
        <f t="shared" si="113"/>
        <v>333.9</v>
      </c>
      <c r="CO90" s="176">
        <f t="shared" si="114"/>
        <v>4634.59</v>
      </c>
      <c r="CP90" s="175">
        <f t="shared" si="115"/>
        <v>28.28</v>
      </c>
      <c r="CQ90" s="175">
        <f t="shared" si="116"/>
        <v>25.55</v>
      </c>
      <c r="CR90" s="175">
        <f t="shared" si="117"/>
        <v>28.28</v>
      </c>
      <c r="CS90" s="175">
        <f t="shared" si="118"/>
        <v>27.37</v>
      </c>
      <c r="CT90" s="177">
        <f t="shared" si="119"/>
        <v>28.28</v>
      </c>
      <c r="CU90" s="175">
        <f t="shared" si="120"/>
        <v>27.37</v>
      </c>
      <c r="CV90" s="175">
        <f t="shared" si="121"/>
        <v>28.28</v>
      </c>
      <c r="CW90" s="175">
        <f t="shared" si="122"/>
        <v>28.28</v>
      </c>
      <c r="CX90" s="175">
        <f t="shared" si="123"/>
        <v>27.37</v>
      </c>
      <c r="CY90" s="175">
        <f t="shared" si="124"/>
        <v>28.28</v>
      </c>
      <c r="CZ90" s="175">
        <f t="shared" si="125"/>
        <v>27.37</v>
      </c>
      <c r="DA90" s="175">
        <v>18.3</v>
      </c>
      <c r="DB90" s="176">
        <f t="shared" si="126"/>
        <v>323.01000000000005</v>
      </c>
      <c r="DC90" s="176">
        <f t="shared" si="127"/>
        <v>4957.6000000000004</v>
      </c>
      <c r="DD90" s="176"/>
      <c r="DE90" s="176"/>
      <c r="DF90" s="176"/>
      <c r="DG90" s="176"/>
      <c r="DH90" s="176"/>
      <c r="DI90" s="176"/>
      <c r="DJ90" s="176"/>
      <c r="DK90" s="176"/>
      <c r="DL90" s="176"/>
      <c r="DM90" s="176"/>
      <c r="DN90" s="176"/>
      <c r="DO90" s="176"/>
      <c r="DP90" s="176"/>
      <c r="DQ90" s="175">
        <f t="shared" si="128"/>
        <v>4957.6000000000004</v>
      </c>
      <c r="DR90" s="175">
        <f t="shared" si="129"/>
        <v>-3107.6000000000004</v>
      </c>
    </row>
    <row r="91" spans="2:122" s="129" customFormat="1" ht="15.75" customHeight="1">
      <c r="B91" s="141" t="s">
        <v>511</v>
      </c>
      <c r="C91" s="142"/>
      <c r="D91" s="142"/>
      <c r="E91" s="179"/>
      <c r="F91" s="179"/>
      <c r="G91" s="145">
        <f>SUM(G41:G90)</f>
        <v>154950.05714285714</v>
      </c>
      <c r="H91" s="145">
        <f>SUM(H41:H90)</f>
        <v>15495.005714285713</v>
      </c>
      <c r="I91" s="145">
        <f>SUM(I41:I90)</f>
        <v>139455.05142857146</v>
      </c>
      <c r="J91" s="145">
        <f t="shared" ref="J91:AF91" si="131">SUM(J41:J58)</f>
        <v>0</v>
      </c>
      <c r="K91" s="145">
        <f t="shared" si="131"/>
        <v>417.30185127201565</v>
      </c>
      <c r="L91" s="145">
        <f t="shared" si="131"/>
        <v>503.37186692759298</v>
      </c>
      <c r="M91" s="145">
        <f t="shared" si="131"/>
        <v>558.09637573385521</v>
      </c>
      <c r="N91" s="145">
        <f t="shared" si="131"/>
        <v>633.16800000000001</v>
      </c>
      <c r="O91" s="145">
        <f t="shared" si="131"/>
        <v>661.9116399217221</v>
      </c>
      <c r="P91" s="145">
        <f t="shared" si="131"/>
        <v>3397.5280939334639</v>
      </c>
      <c r="Q91" s="145">
        <f t="shared" si="131"/>
        <v>2991.4300000000003</v>
      </c>
      <c r="R91" s="145">
        <f t="shared" si="131"/>
        <v>2456.88</v>
      </c>
      <c r="S91" s="145">
        <f t="shared" si="131"/>
        <v>1800</v>
      </c>
      <c r="T91" s="145">
        <f t="shared" si="131"/>
        <v>1548.49</v>
      </c>
      <c r="U91" s="145">
        <f t="shared" si="131"/>
        <v>4272.4799999999996</v>
      </c>
      <c r="V91" s="145">
        <f t="shared" si="131"/>
        <v>119.73</v>
      </c>
      <c r="W91" s="145">
        <f t="shared" si="131"/>
        <v>407.47</v>
      </c>
      <c r="X91" s="145">
        <f t="shared" si="131"/>
        <v>497.99</v>
      </c>
      <c r="Y91" s="145">
        <f t="shared" si="131"/>
        <v>496.64</v>
      </c>
      <c r="Z91" s="145">
        <f t="shared" si="131"/>
        <v>902.86999999999989</v>
      </c>
      <c r="AA91" s="145">
        <f t="shared" si="131"/>
        <v>2859.8900000000003</v>
      </c>
      <c r="AB91" s="145">
        <f t="shared" si="131"/>
        <v>5552.9000000000005</v>
      </c>
      <c r="AC91" s="145">
        <f t="shared" si="131"/>
        <v>5449.9599999999991</v>
      </c>
      <c r="AD91" s="145">
        <f t="shared" si="131"/>
        <v>5449.9599999999991</v>
      </c>
      <c r="AE91" s="145">
        <f t="shared" si="131"/>
        <v>4962.87</v>
      </c>
      <c r="AF91" s="145">
        <f t="shared" si="131"/>
        <v>2954.8600000000006</v>
      </c>
      <c r="AG91" s="145"/>
      <c r="AH91" s="145"/>
      <c r="AI91" s="145"/>
      <c r="AJ91" s="145"/>
      <c r="AK91" s="145">
        <f>SUM(AK41:AK90)</f>
        <v>139455.08000000002</v>
      </c>
      <c r="AL91" s="145">
        <f>SUM(AL41:AL90)</f>
        <v>139455.08000000002</v>
      </c>
    </row>
    <row r="92" spans="2:122" s="129" customFormat="1" ht="12.75" customHeight="1">
      <c r="B92" s="146" t="s">
        <v>679</v>
      </c>
      <c r="C92" s="142"/>
      <c r="D92" s="180"/>
      <c r="E92" s="181"/>
      <c r="F92" s="181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</row>
    <row r="93" spans="2:122" s="129" customFormat="1" ht="20.25" customHeight="1">
      <c r="B93" s="123" t="s">
        <v>680</v>
      </c>
      <c r="C93" s="124" t="s">
        <v>681</v>
      </c>
      <c r="D93" s="124" t="s">
        <v>682</v>
      </c>
      <c r="E93" s="131" t="s">
        <v>121</v>
      </c>
      <c r="F93" s="131" t="s">
        <v>683</v>
      </c>
      <c r="G93" s="127">
        <f>5339.25/8.75</f>
        <v>610.20000000000005</v>
      </c>
      <c r="H93" s="127">
        <f>(G93*0.1)</f>
        <v>61.02000000000001</v>
      </c>
      <c r="I93" s="127">
        <f>(G93*0.9)</f>
        <v>549.18000000000006</v>
      </c>
      <c r="J93" s="127">
        <v>0</v>
      </c>
      <c r="K93" s="127">
        <v>0</v>
      </c>
      <c r="L93" s="127">
        <v>0</v>
      </c>
      <c r="M93" s="127">
        <v>0</v>
      </c>
      <c r="N93" s="127">
        <v>0</v>
      </c>
      <c r="O93" s="127">
        <v>0</v>
      </c>
      <c r="P93" s="127">
        <v>0</v>
      </c>
      <c r="Q93" s="127">
        <v>0</v>
      </c>
      <c r="R93" s="127">
        <v>2.42</v>
      </c>
      <c r="S93" s="127">
        <v>109.84</v>
      </c>
      <c r="T93" s="127">
        <v>109.84</v>
      </c>
      <c r="U93" s="127">
        <v>109.84</v>
      </c>
      <c r="V93" s="127">
        <v>109.86</v>
      </c>
      <c r="W93" s="127">
        <v>107.38</v>
      </c>
      <c r="X93" s="127">
        <v>0</v>
      </c>
      <c r="Y93" s="127">
        <v>0</v>
      </c>
      <c r="Z93" s="127">
        <v>0</v>
      </c>
      <c r="AA93" s="127">
        <v>0</v>
      </c>
      <c r="AB93" s="127">
        <v>0</v>
      </c>
      <c r="AC93" s="127">
        <v>0</v>
      </c>
      <c r="AD93" s="127">
        <v>0</v>
      </c>
      <c r="AE93" s="127">
        <v>0</v>
      </c>
      <c r="AF93" s="128">
        <v>0</v>
      </c>
      <c r="AG93" s="127">
        <v>0</v>
      </c>
      <c r="AH93" s="127"/>
      <c r="AI93" s="127"/>
      <c r="AJ93" s="127"/>
      <c r="AK93" s="127">
        <v>549.17999999999995</v>
      </c>
      <c r="AL93" s="128">
        <f>SUM(AK93)</f>
        <v>549.17999999999995</v>
      </c>
    </row>
    <row r="94" spans="2:122" s="129" customFormat="1" ht="19.5" customHeight="1">
      <c r="B94" s="130" t="s">
        <v>684</v>
      </c>
      <c r="C94" s="124" t="s">
        <v>685</v>
      </c>
      <c r="D94" s="125" t="s">
        <v>686</v>
      </c>
      <c r="E94" s="126" t="s">
        <v>121</v>
      </c>
      <c r="F94" s="126" t="s">
        <v>687</v>
      </c>
      <c r="G94" s="127">
        <v>2936.87</v>
      </c>
      <c r="H94" s="127">
        <f t="shared" ref="H94:H153" si="132">(G94*0.1)</f>
        <v>293.68700000000001</v>
      </c>
      <c r="I94" s="127">
        <f t="shared" ref="I94:I152" si="133">(G94*0.9)</f>
        <v>2643.183</v>
      </c>
      <c r="J94" s="127">
        <v>0</v>
      </c>
      <c r="K94" s="127">
        <v>0</v>
      </c>
      <c r="L94" s="127">
        <v>0</v>
      </c>
      <c r="M94" s="127">
        <v>0</v>
      </c>
      <c r="N94" s="127">
        <v>0</v>
      </c>
      <c r="O94" s="127">
        <v>0</v>
      </c>
      <c r="P94" s="127">
        <v>0</v>
      </c>
      <c r="Q94" s="127">
        <v>0</v>
      </c>
      <c r="R94" s="127">
        <v>0</v>
      </c>
      <c r="S94" s="127">
        <v>0</v>
      </c>
      <c r="T94" s="127">
        <v>0</v>
      </c>
      <c r="U94" s="127">
        <v>0</v>
      </c>
      <c r="V94" s="127">
        <v>0</v>
      </c>
      <c r="W94" s="127">
        <v>422.91</v>
      </c>
      <c r="X94" s="127">
        <v>530.1</v>
      </c>
      <c r="Y94" s="127">
        <v>528.65</v>
      </c>
      <c r="Z94" s="127">
        <v>528.65</v>
      </c>
      <c r="AA94" s="127">
        <v>528.65</v>
      </c>
      <c r="AB94" s="127">
        <v>104.22</v>
      </c>
      <c r="AC94" s="127">
        <v>0</v>
      </c>
      <c r="AD94" s="127">
        <v>0</v>
      </c>
      <c r="AE94" s="127">
        <v>0</v>
      </c>
      <c r="AF94" s="128">
        <v>0</v>
      </c>
      <c r="AG94" s="127">
        <v>0</v>
      </c>
      <c r="AH94" s="127"/>
      <c r="AI94" s="127"/>
      <c r="AJ94" s="127"/>
      <c r="AK94" s="127">
        <v>2643.18</v>
      </c>
      <c r="AL94" s="128">
        <f>SUM(AK94)</f>
        <v>2643.18</v>
      </c>
    </row>
    <row r="95" spans="2:122" s="129" customFormat="1" ht="21" customHeight="1">
      <c r="B95" s="130" t="s">
        <v>684</v>
      </c>
      <c r="C95" s="124" t="s">
        <v>685</v>
      </c>
      <c r="D95" s="125" t="s">
        <v>688</v>
      </c>
      <c r="E95" s="126" t="s">
        <v>121</v>
      </c>
      <c r="F95" s="126" t="s">
        <v>689</v>
      </c>
      <c r="G95" s="127">
        <v>2936.87</v>
      </c>
      <c r="H95" s="127">
        <f t="shared" si="132"/>
        <v>293.68700000000001</v>
      </c>
      <c r="I95" s="127">
        <f t="shared" si="133"/>
        <v>2643.183</v>
      </c>
      <c r="J95" s="127">
        <v>0</v>
      </c>
      <c r="K95" s="127">
        <v>0</v>
      </c>
      <c r="L95" s="127">
        <v>0</v>
      </c>
      <c r="M95" s="127">
        <v>0</v>
      </c>
      <c r="N95" s="127">
        <v>0</v>
      </c>
      <c r="O95" s="127">
        <v>0</v>
      </c>
      <c r="P95" s="127">
        <v>0</v>
      </c>
      <c r="Q95" s="127">
        <v>0</v>
      </c>
      <c r="R95" s="127">
        <v>0</v>
      </c>
      <c r="S95" s="127">
        <v>0</v>
      </c>
      <c r="T95" s="127">
        <v>0</v>
      </c>
      <c r="U95" s="127">
        <v>0</v>
      </c>
      <c r="V95" s="127">
        <v>0</v>
      </c>
      <c r="W95" s="127">
        <v>422.91</v>
      </c>
      <c r="X95" s="127">
        <v>530.1</v>
      </c>
      <c r="Y95" s="127">
        <v>528.65</v>
      </c>
      <c r="Z95" s="127">
        <v>528.65</v>
      </c>
      <c r="AA95" s="127">
        <v>528.65</v>
      </c>
      <c r="AB95" s="127">
        <v>104.22</v>
      </c>
      <c r="AC95" s="127">
        <v>0</v>
      </c>
      <c r="AD95" s="127">
        <v>0</v>
      </c>
      <c r="AE95" s="127">
        <v>0</v>
      </c>
      <c r="AF95" s="128">
        <v>0</v>
      </c>
      <c r="AG95" s="127">
        <v>0</v>
      </c>
      <c r="AH95" s="127"/>
      <c r="AI95" s="127"/>
      <c r="AJ95" s="127"/>
      <c r="AK95" s="127">
        <v>2643.18</v>
      </c>
      <c r="AL95" s="128">
        <f t="shared" ref="AL95:AL154" si="134">SUM(AK95)</f>
        <v>2643.18</v>
      </c>
    </row>
    <row r="96" spans="2:122" s="129" customFormat="1" ht="14.25" customHeight="1">
      <c r="B96" s="130" t="s">
        <v>690</v>
      </c>
      <c r="C96" s="124" t="s">
        <v>691</v>
      </c>
      <c r="D96" s="125" t="s">
        <v>692</v>
      </c>
      <c r="E96" s="126" t="s">
        <v>105</v>
      </c>
      <c r="F96" s="126" t="s">
        <v>693</v>
      </c>
      <c r="G96" s="127">
        <v>1719</v>
      </c>
      <c r="H96" s="127">
        <f t="shared" si="132"/>
        <v>171.9</v>
      </c>
      <c r="I96" s="127">
        <f t="shared" si="133"/>
        <v>1547.1000000000001</v>
      </c>
      <c r="J96" s="127">
        <v>0</v>
      </c>
      <c r="K96" s="127">
        <v>0</v>
      </c>
      <c r="L96" s="127">
        <v>0</v>
      </c>
      <c r="M96" s="127">
        <v>0</v>
      </c>
      <c r="N96" s="127">
        <v>0</v>
      </c>
      <c r="O96" s="127">
        <v>0</v>
      </c>
      <c r="P96" s="127">
        <v>0</v>
      </c>
      <c r="Q96" s="127">
        <v>0</v>
      </c>
      <c r="R96" s="127">
        <v>0</v>
      </c>
      <c r="S96" s="127">
        <v>0</v>
      </c>
      <c r="T96" s="127">
        <v>0</v>
      </c>
      <c r="U96" s="127">
        <v>0</v>
      </c>
      <c r="V96" s="127">
        <v>0</v>
      </c>
      <c r="W96" s="127">
        <v>203.45</v>
      </c>
      <c r="X96" s="127">
        <v>310.26</v>
      </c>
      <c r="Y96" s="127">
        <v>309.42</v>
      </c>
      <c r="Z96" s="127">
        <v>309.42</v>
      </c>
      <c r="AA96" s="127">
        <v>309.42</v>
      </c>
      <c r="AB96" s="127">
        <v>105.13</v>
      </c>
      <c r="AC96" s="127">
        <v>0</v>
      </c>
      <c r="AD96" s="127">
        <v>0</v>
      </c>
      <c r="AE96" s="127">
        <v>0</v>
      </c>
      <c r="AF96" s="128">
        <v>0</v>
      </c>
      <c r="AG96" s="127">
        <v>0</v>
      </c>
      <c r="AH96" s="127"/>
      <c r="AI96" s="127"/>
      <c r="AJ96" s="127"/>
      <c r="AK96" s="127">
        <v>1547.1</v>
      </c>
      <c r="AL96" s="128">
        <f t="shared" si="134"/>
        <v>1547.1</v>
      </c>
    </row>
    <row r="97" spans="2:38" s="129" customFormat="1" ht="15.75" customHeight="1">
      <c r="B97" s="130" t="s">
        <v>690</v>
      </c>
      <c r="C97" s="124" t="s">
        <v>691</v>
      </c>
      <c r="D97" s="125" t="s">
        <v>694</v>
      </c>
      <c r="E97" s="126" t="s">
        <v>121</v>
      </c>
      <c r="F97" s="126" t="s">
        <v>695</v>
      </c>
      <c r="G97" s="127">
        <v>1719</v>
      </c>
      <c r="H97" s="127">
        <f t="shared" si="132"/>
        <v>171.9</v>
      </c>
      <c r="I97" s="127">
        <f t="shared" si="133"/>
        <v>1547.1000000000001</v>
      </c>
      <c r="J97" s="127">
        <v>0</v>
      </c>
      <c r="K97" s="127">
        <v>0</v>
      </c>
      <c r="L97" s="127">
        <v>0</v>
      </c>
      <c r="M97" s="127">
        <v>0</v>
      </c>
      <c r="N97" s="127">
        <v>0</v>
      </c>
      <c r="O97" s="127">
        <v>0</v>
      </c>
      <c r="P97" s="127">
        <v>0</v>
      </c>
      <c r="Q97" s="127">
        <v>0</v>
      </c>
      <c r="R97" s="127">
        <v>0</v>
      </c>
      <c r="S97" s="127">
        <v>0</v>
      </c>
      <c r="T97" s="127">
        <v>0</v>
      </c>
      <c r="U97" s="127">
        <v>0</v>
      </c>
      <c r="V97" s="127">
        <v>0</v>
      </c>
      <c r="W97" s="127">
        <v>203.45</v>
      </c>
      <c r="X97" s="127">
        <v>310.26</v>
      </c>
      <c r="Y97" s="127">
        <v>309.42</v>
      </c>
      <c r="Z97" s="127">
        <v>309.42</v>
      </c>
      <c r="AA97" s="127">
        <v>309.42</v>
      </c>
      <c r="AB97" s="127">
        <v>105.13</v>
      </c>
      <c r="AC97" s="127">
        <v>0</v>
      </c>
      <c r="AD97" s="127">
        <v>0</v>
      </c>
      <c r="AE97" s="127">
        <v>0</v>
      </c>
      <c r="AF97" s="128">
        <v>0</v>
      </c>
      <c r="AG97" s="127">
        <v>0</v>
      </c>
      <c r="AH97" s="127"/>
      <c r="AI97" s="127"/>
      <c r="AJ97" s="127"/>
      <c r="AK97" s="127">
        <v>1547.1</v>
      </c>
      <c r="AL97" s="128">
        <f t="shared" si="134"/>
        <v>1547.1</v>
      </c>
    </row>
    <row r="98" spans="2:38" s="129" customFormat="1" ht="15" customHeight="1">
      <c r="B98" s="130" t="s">
        <v>690</v>
      </c>
      <c r="C98" s="124" t="s">
        <v>691</v>
      </c>
      <c r="D98" s="125" t="s">
        <v>696</v>
      </c>
      <c r="E98" s="126" t="s">
        <v>112</v>
      </c>
      <c r="F98" s="126" t="s">
        <v>697</v>
      </c>
      <c r="G98" s="127">
        <v>1719</v>
      </c>
      <c r="H98" s="127">
        <f t="shared" si="132"/>
        <v>171.9</v>
      </c>
      <c r="I98" s="127">
        <f t="shared" si="133"/>
        <v>1547.1000000000001</v>
      </c>
      <c r="J98" s="127">
        <v>0</v>
      </c>
      <c r="K98" s="127">
        <v>0</v>
      </c>
      <c r="L98" s="127">
        <v>0</v>
      </c>
      <c r="M98" s="127">
        <v>0</v>
      </c>
      <c r="N98" s="127">
        <v>0</v>
      </c>
      <c r="O98" s="127">
        <v>0</v>
      </c>
      <c r="P98" s="127">
        <v>0</v>
      </c>
      <c r="Q98" s="127">
        <v>0</v>
      </c>
      <c r="R98" s="127">
        <v>0</v>
      </c>
      <c r="S98" s="127">
        <v>0</v>
      </c>
      <c r="T98" s="127">
        <v>0</v>
      </c>
      <c r="U98" s="127">
        <v>0</v>
      </c>
      <c r="V98" s="127">
        <v>0</v>
      </c>
      <c r="W98" s="127">
        <v>203.45</v>
      </c>
      <c r="X98" s="127">
        <v>310.26</v>
      </c>
      <c r="Y98" s="127">
        <v>309.42</v>
      </c>
      <c r="Z98" s="127">
        <v>309.42</v>
      </c>
      <c r="AA98" s="127">
        <v>309.42</v>
      </c>
      <c r="AB98" s="127">
        <v>105.13</v>
      </c>
      <c r="AC98" s="127">
        <v>0</v>
      </c>
      <c r="AD98" s="127">
        <v>0</v>
      </c>
      <c r="AE98" s="127">
        <v>0</v>
      </c>
      <c r="AF98" s="128">
        <v>0</v>
      </c>
      <c r="AG98" s="127">
        <v>0</v>
      </c>
      <c r="AH98" s="127"/>
      <c r="AI98" s="127"/>
      <c r="AJ98" s="127"/>
      <c r="AK98" s="127">
        <v>1547.1</v>
      </c>
      <c r="AL98" s="128">
        <f t="shared" si="134"/>
        <v>1547.1</v>
      </c>
    </row>
    <row r="99" spans="2:38" s="129" customFormat="1" ht="9">
      <c r="B99" s="130" t="s">
        <v>690</v>
      </c>
      <c r="C99" s="124" t="s">
        <v>691</v>
      </c>
      <c r="D99" s="125" t="s">
        <v>698</v>
      </c>
      <c r="E99" s="126" t="s">
        <v>699</v>
      </c>
      <c r="F99" s="126" t="s">
        <v>700</v>
      </c>
      <c r="G99" s="127">
        <v>1719</v>
      </c>
      <c r="H99" s="127">
        <f t="shared" si="132"/>
        <v>171.9</v>
      </c>
      <c r="I99" s="127">
        <f t="shared" si="133"/>
        <v>1547.1000000000001</v>
      </c>
      <c r="J99" s="127">
        <v>0</v>
      </c>
      <c r="K99" s="127">
        <v>0</v>
      </c>
      <c r="L99" s="127">
        <v>0</v>
      </c>
      <c r="M99" s="127">
        <v>0</v>
      </c>
      <c r="N99" s="127">
        <v>0</v>
      </c>
      <c r="O99" s="127">
        <v>0</v>
      </c>
      <c r="P99" s="127">
        <v>0</v>
      </c>
      <c r="Q99" s="127">
        <v>0</v>
      </c>
      <c r="R99" s="127">
        <v>0</v>
      </c>
      <c r="S99" s="127">
        <v>0</v>
      </c>
      <c r="T99" s="127">
        <v>0</v>
      </c>
      <c r="U99" s="127">
        <v>0</v>
      </c>
      <c r="V99" s="127">
        <v>0</v>
      </c>
      <c r="W99" s="127">
        <v>203.45</v>
      </c>
      <c r="X99" s="127">
        <v>310.26</v>
      </c>
      <c r="Y99" s="127">
        <v>309.42</v>
      </c>
      <c r="Z99" s="127">
        <v>309.42</v>
      </c>
      <c r="AA99" s="127">
        <v>309.42</v>
      </c>
      <c r="AB99" s="127">
        <v>105.13</v>
      </c>
      <c r="AC99" s="127">
        <v>0</v>
      </c>
      <c r="AD99" s="127">
        <v>0</v>
      </c>
      <c r="AE99" s="127">
        <v>0</v>
      </c>
      <c r="AF99" s="128">
        <v>0</v>
      </c>
      <c r="AG99" s="127">
        <v>0</v>
      </c>
      <c r="AH99" s="127"/>
      <c r="AI99" s="127"/>
      <c r="AJ99" s="127"/>
      <c r="AK99" s="127">
        <v>1547.1</v>
      </c>
      <c r="AL99" s="128">
        <f t="shared" si="134"/>
        <v>1547.1</v>
      </c>
    </row>
    <row r="100" spans="2:38" s="129" customFormat="1" ht="9">
      <c r="B100" s="130" t="s">
        <v>690</v>
      </c>
      <c r="C100" s="124" t="s">
        <v>691</v>
      </c>
      <c r="D100" s="125" t="s">
        <v>701</v>
      </c>
      <c r="E100" s="126" t="s">
        <v>702</v>
      </c>
      <c r="F100" s="126" t="s">
        <v>703</v>
      </c>
      <c r="G100" s="127">
        <v>1719</v>
      </c>
      <c r="H100" s="127">
        <f t="shared" si="132"/>
        <v>171.9</v>
      </c>
      <c r="I100" s="127">
        <f t="shared" si="133"/>
        <v>1547.1000000000001</v>
      </c>
      <c r="J100" s="127">
        <v>0</v>
      </c>
      <c r="K100" s="127">
        <v>0</v>
      </c>
      <c r="L100" s="127">
        <v>0</v>
      </c>
      <c r="M100" s="127">
        <v>0</v>
      </c>
      <c r="N100" s="127">
        <v>0</v>
      </c>
      <c r="O100" s="127">
        <v>0</v>
      </c>
      <c r="P100" s="127">
        <v>0</v>
      </c>
      <c r="Q100" s="127">
        <v>0</v>
      </c>
      <c r="R100" s="127">
        <v>0</v>
      </c>
      <c r="S100" s="127">
        <v>0</v>
      </c>
      <c r="T100" s="127">
        <v>0</v>
      </c>
      <c r="U100" s="127">
        <v>0</v>
      </c>
      <c r="V100" s="127">
        <v>0</v>
      </c>
      <c r="W100" s="127">
        <v>203.45</v>
      </c>
      <c r="X100" s="127">
        <v>310.26</v>
      </c>
      <c r="Y100" s="127">
        <v>309.42</v>
      </c>
      <c r="Z100" s="127">
        <v>309.42</v>
      </c>
      <c r="AA100" s="127">
        <v>309.42</v>
      </c>
      <c r="AB100" s="127">
        <v>105.13</v>
      </c>
      <c r="AC100" s="127">
        <v>0</v>
      </c>
      <c r="AD100" s="127">
        <v>0</v>
      </c>
      <c r="AE100" s="127">
        <v>0</v>
      </c>
      <c r="AF100" s="128">
        <v>0</v>
      </c>
      <c r="AG100" s="127">
        <v>0</v>
      </c>
      <c r="AH100" s="127"/>
      <c r="AI100" s="127"/>
      <c r="AJ100" s="127"/>
      <c r="AK100" s="127">
        <v>1547.1</v>
      </c>
      <c r="AL100" s="128">
        <f t="shared" si="134"/>
        <v>1547.1</v>
      </c>
    </row>
    <row r="101" spans="2:38" s="129" customFormat="1" ht="9">
      <c r="B101" s="130" t="s">
        <v>690</v>
      </c>
      <c r="C101" s="124" t="s">
        <v>691</v>
      </c>
      <c r="D101" s="125" t="s">
        <v>704</v>
      </c>
      <c r="E101" s="126" t="s">
        <v>112</v>
      </c>
      <c r="F101" s="126" t="s">
        <v>705</v>
      </c>
      <c r="G101" s="127">
        <v>1719</v>
      </c>
      <c r="H101" s="127">
        <f t="shared" si="132"/>
        <v>171.9</v>
      </c>
      <c r="I101" s="127">
        <f t="shared" si="133"/>
        <v>1547.1000000000001</v>
      </c>
      <c r="J101" s="127">
        <v>0</v>
      </c>
      <c r="K101" s="127">
        <v>0</v>
      </c>
      <c r="L101" s="127">
        <v>0</v>
      </c>
      <c r="M101" s="127">
        <v>0</v>
      </c>
      <c r="N101" s="127">
        <v>0</v>
      </c>
      <c r="O101" s="127">
        <v>0</v>
      </c>
      <c r="P101" s="127">
        <v>0</v>
      </c>
      <c r="Q101" s="127">
        <v>0</v>
      </c>
      <c r="R101" s="127">
        <v>0</v>
      </c>
      <c r="S101" s="127">
        <v>0</v>
      </c>
      <c r="T101" s="127">
        <v>0</v>
      </c>
      <c r="U101" s="127">
        <v>0</v>
      </c>
      <c r="V101" s="127">
        <v>0</v>
      </c>
      <c r="W101" s="127">
        <v>203.45</v>
      </c>
      <c r="X101" s="127">
        <v>310.26</v>
      </c>
      <c r="Y101" s="127">
        <v>309.42</v>
      </c>
      <c r="Z101" s="127">
        <v>309.42</v>
      </c>
      <c r="AA101" s="127">
        <v>309.42</v>
      </c>
      <c r="AB101" s="127">
        <v>105.13</v>
      </c>
      <c r="AC101" s="127">
        <v>0</v>
      </c>
      <c r="AD101" s="127">
        <v>0</v>
      </c>
      <c r="AE101" s="127">
        <v>0</v>
      </c>
      <c r="AF101" s="128">
        <v>0</v>
      </c>
      <c r="AG101" s="127">
        <v>0</v>
      </c>
      <c r="AH101" s="127"/>
      <c r="AI101" s="127"/>
      <c r="AJ101" s="127"/>
      <c r="AK101" s="127">
        <v>1547.1</v>
      </c>
      <c r="AL101" s="128">
        <f t="shared" si="134"/>
        <v>1547.1</v>
      </c>
    </row>
    <row r="102" spans="2:38" s="129" customFormat="1" ht="24.75">
      <c r="B102" s="130" t="s">
        <v>690</v>
      </c>
      <c r="C102" s="124" t="s">
        <v>691</v>
      </c>
      <c r="D102" s="125" t="s">
        <v>706</v>
      </c>
      <c r="E102" s="126" t="s">
        <v>121</v>
      </c>
      <c r="F102" s="126" t="s">
        <v>707</v>
      </c>
      <c r="G102" s="127">
        <v>1719</v>
      </c>
      <c r="H102" s="127">
        <f t="shared" si="132"/>
        <v>171.9</v>
      </c>
      <c r="I102" s="127">
        <f t="shared" si="133"/>
        <v>1547.1000000000001</v>
      </c>
      <c r="J102" s="127">
        <v>0</v>
      </c>
      <c r="K102" s="127">
        <v>0</v>
      </c>
      <c r="L102" s="127">
        <v>0</v>
      </c>
      <c r="M102" s="127">
        <v>0</v>
      </c>
      <c r="N102" s="127">
        <v>0</v>
      </c>
      <c r="O102" s="127">
        <v>0</v>
      </c>
      <c r="P102" s="127">
        <v>0</v>
      </c>
      <c r="Q102" s="127">
        <v>0</v>
      </c>
      <c r="R102" s="127">
        <v>0</v>
      </c>
      <c r="S102" s="127">
        <v>0</v>
      </c>
      <c r="T102" s="127">
        <v>0</v>
      </c>
      <c r="U102" s="127">
        <v>0</v>
      </c>
      <c r="V102" s="127">
        <v>0</v>
      </c>
      <c r="W102" s="127">
        <v>203.45</v>
      </c>
      <c r="X102" s="127">
        <v>310.26</v>
      </c>
      <c r="Y102" s="127">
        <v>309.42</v>
      </c>
      <c r="Z102" s="127">
        <v>309.42</v>
      </c>
      <c r="AA102" s="127">
        <v>309.42</v>
      </c>
      <c r="AB102" s="127">
        <v>105.13</v>
      </c>
      <c r="AC102" s="127">
        <v>0</v>
      </c>
      <c r="AD102" s="127">
        <v>0</v>
      </c>
      <c r="AE102" s="127">
        <v>0</v>
      </c>
      <c r="AF102" s="128">
        <v>0</v>
      </c>
      <c r="AG102" s="127">
        <v>0</v>
      </c>
      <c r="AH102" s="127"/>
      <c r="AI102" s="127"/>
      <c r="AJ102" s="127"/>
      <c r="AK102" s="127">
        <v>1547.1</v>
      </c>
      <c r="AL102" s="128">
        <f t="shared" si="134"/>
        <v>1547.1</v>
      </c>
    </row>
    <row r="103" spans="2:38" s="129" customFormat="1" ht="9">
      <c r="B103" s="130" t="s">
        <v>690</v>
      </c>
      <c r="C103" s="124" t="s">
        <v>691</v>
      </c>
      <c r="D103" s="125" t="s">
        <v>708</v>
      </c>
      <c r="E103" s="126" t="s">
        <v>709</v>
      </c>
      <c r="F103" s="126" t="s">
        <v>710</v>
      </c>
      <c r="G103" s="127">
        <v>1719</v>
      </c>
      <c r="H103" s="127">
        <f t="shared" si="132"/>
        <v>171.9</v>
      </c>
      <c r="I103" s="127">
        <f t="shared" si="133"/>
        <v>1547.1000000000001</v>
      </c>
      <c r="J103" s="127">
        <v>0</v>
      </c>
      <c r="K103" s="127">
        <v>0</v>
      </c>
      <c r="L103" s="127">
        <v>0</v>
      </c>
      <c r="M103" s="127">
        <v>0</v>
      </c>
      <c r="N103" s="127">
        <v>0</v>
      </c>
      <c r="O103" s="127">
        <v>0</v>
      </c>
      <c r="P103" s="127">
        <v>0</v>
      </c>
      <c r="Q103" s="127">
        <v>0</v>
      </c>
      <c r="R103" s="127">
        <v>0</v>
      </c>
      <c r="S103" s="127">
        <v>0</v>
      </c>
      <c r="T103" s="127">
        <v>0</v>
      </c>
      <c r="U103" s="127">
        <v>0</v>
      </c>
      <c r="V103" s="127">
        <v>0</v>
      </c>
      <c r="W103" s="127">
        <v>203.45</v>
      </c>
      <c r="X103" s="127">
        <v>310.26</v>
      </c>
      <c r="Y103" s="127">
        <v>309.42</v>
      </c>
      <c r="Z103" s="127">
        <v>309.42</v>
      </c>
      <c r="AA103" s="127">
        <v>309.42</v>
      </c>
      <c r="AB103" s="127">
        <v>105.13</v>
      </c>
      <c r="AC103" s="127">
        <v>0</v>
      </c>
      <c r="AD103" s="127">
        <v>0</v>
      </c>
      <c r="AE103" s="127">
        <v>0</v>
      </c>
      <c r="AF103" s="128">
        <v>0</v>
      </c>
      <c r="AG103" s="127">
        <v>0</v>
      </c>
      <c r="AH103" s="127"/>
      <c r="AI103" s="127"/>
      <c r="AJ103" s="127"/>
      <c r="AK103" s="127">
        <v>1547.1</v>
      </c>
      <c r="AL103" s="128">
        <f t="shared" si="134"/>
        <v>1547.1</v>
      </c>
    </row>
    <row r="104" spans="2:38" s="129" customFormat="1" ht="9">
      <c r="B104" s="130" t="s">
        <v>690</v>
      </c>
      <c r="C104" s="124" t="s">
        <v>691</v>
      </c>
      <c r="D104" s="125" t="s">
        <v>698</v>
      </c>
      <c r="E104" s="126" t="s">
        <v>112</v>
      </c>
      <c r="F104" s="126" t="s">
        <v>711</v>
      </c>
      <c r="G104" s="127">
        <v>1719</v>
      </c>
      <c r="H104" s="127">
        <f t="shared" si="132"/>
        <v>171.9</v>
      </c>
      <c r="I104" s="127">
        <f t="shared" si="133"/>
        <v>1547.1000000000001</v>
      </c>
      <c r="J104" s="127">
        <v>0</v>
      </c>
      <c r="K104" s="127">
        <v>0</v>
      </c>
      <c r="L104" s="127">
        <v>0</v>
      </c>
      <c r="M104" s="127">
        <v>0</v>
      </c>
      <c r="N104" s="127">
        <v>0</v>
      </c>
      <c r="O104" s="127">
        <v>0</v>
      </c>
      <c r="P104" s="127">
        <v>0</v>
      </c>
      <c r="Q104" s="127">
        <v>0</v>
      </c>
      <c r="R104" s="127">
        <v>0</v>
      </c>
      <c r="S104" s="127">
        <v>0</v>
      </c>
      <c r="T104" s="127">
        <v>0</v>
      </c>
      <c r="U104" s="127">
        <v>0</v>
      </c>
      <c r="V104" s="127">
        <v>0</v>
      </c>
      <c r="W104" s="127">
        <v>203.45</v>
      </c>
      <c r="X104" s="127">
        <v>310.26</v>
      </c>
      <c r="Y104" s="127">
        <v>309.42</v>
      </c>
      <c r="Z104" s="127">
        <v>309.42</v>
      </c>
      <c r="AA104" s="127">
        <v>309.42</v>
      </c>
      <c r="AB104" s="127">
        <v>105.13</v>
      </c>
      <c r="AC104" s="127">
        <v>0</v>
      </c>
      <c r="AD104" s="127">
        <v>0</v>
      </c>
      <c r="AE104" s="127">
        <v>0</v>
      </c>
      <c r="AF104" s="128">
        <v>0</v>
      </c>
      <c r="AG104" s="127">
        <v>0</v>
      </c>
      <c r="AH104" s="127"/>
      <c r="AI104" s="127"/>
      <c r="AJ104" s="127"/>
      <c r="AK104" s="127">
        <v>1547.1</v>
      </c>
      <c r="AL104" s="128">
        <f t="shared" si="134"/>
        <v>1547.1</v>
      </c>
    </row>
    <row r="105" spans="2:38" s="129" customFormat="1" ht="9">
      <c r="B105" s="182" t="s">
        <v>690</v>
      </c>
      <c r="C105" s="166" t="s">
        <v>691</v>
      </c>
      <c r="D105" s="167" t="s">
        <v>698</v>
      </c>
      <c r="E105" s="183" t="s">
        <v>712</v>
      </c>
      <c r="F105" s="183" t="s">
        <v>713</v>
      </c>
      <c r="G105" s="154">
        <v>1719</v>
      </c>
      <c r="H105" s="154">
        <f t="shared" si="132"/>
        <v>171.9</v>
      </c>
      <c r="I105" s="154">
        <f t="shared" si="133"/>
        <v>1547.1000000000001</v>
      </c>
      <c r="J105" s="154">
        <v>0</v>
      </c>
      <c r="K105" s="154">
        <v>0</v>
      </c>
      <c r="L105" s="154">
        <v>0</v>
      </c>
      <c r="M105" s="154">
        <v>0</v>
      </c>
      <c r="N105" s="154">
        <v>0</v>
      </c>
      <c r="O105" s="154">
        <v>0</v>
      </c>
      <c r="P105" s="154">
        <v>0</v>
      </c>
      <c r="Q105" s="154">
        <v>0</v>
      </c>
      <c r="R105" s="154">
        <v>0</v>
      </c>
      <c r="S105" s="154">
        <v>0</v>
      </c>
      <c r="T105" s="154">
        <v>0</v>
      </c>
      <c r="U105" s="154">
        <v>0</v>
      </c>
      <c r="V105" s="154">
        <v>0</v>
      </c>
      <c r="W105" s="154">
        <v>203.45</v>
      </c>
      <c r="X105" s="127">
        <v>310.26</v>
      </c>
      <c r="Y105" s="127">
        <v>309.42</v>
      </c>
      <c r="Z105" s="127">
        <v>309.42</v>
      </c>
      <c r="AA105" s="127">
        <v>309.42</v>
      </c>
      <c r="AB105" s="154">
        <v>105.13</v>
      </c>
      <c r="AC105" s="127">
        <v>0</v>
      </c>
      <c r="AD105" s="127">
        <v>0</v>
      </c>
      <c r="AE105" s="127">
        <v>0</v>
      </c>
      <c r="AF105" s="128">
        <v>0</v>
      </c>
      <c r="AG105" s="127">
        <v>0</v>
      </c>
      <c r="AH105" s="127"/>
      <c r="AI105" s="127"/>
      <c r="AJ105" s="127"/>
      <c r="AK105" s="154">
        <v>1547.1</v>
      </c>
      <c r="AL105" s="128">
        <f t="shared" si="134"/>
        <v>1547.1</v>
      </c>
    </row>
    <row r="106" spans="2:38" s="129" customFormat="1" ht="9">
      <c r="B106" s="130" t="s">
        <v>690</v>
      </c>
      <c r="C106" s="124" t="s">
        <v>691</v>
      </c>
      <c r="D106" s="125" t="s">
        <v>714</v>
      </c>
      <c r="E106" s="126" t="s">
        <v>121</v>
      </c>
      <c r="F106" s="126" t="s">
        <v>715</v>
      </c>
      <c r="G106" s="127">
        <v>1719</v>
      </c>
      <c r="H106" s="127">
        <f t="shared" si="132"/>
        <v>171.9</v>
      </c>
      <c r="I106" s="127">
        <f t="shared" si="133"/>
        <v>1547.1000000000001</v>
      </c>
      <c r="J106" s="127">
        <v>0</v>
      </c>
      <c r="K106" s="127">
        <v>0</v>
      </c>
      <c r="L106" s="127">
        <v>0</v>
      </c>
      <c r="M106" s="127">
        <v>0</v>
      </c>
      <c r="N106" s="127">
        <v>0</v>
      </c>
      <c r="O106" s="127">
        <v>0</v>
      </c>
      <c r="P106" s="127">
        <v>0</v>
      </c>
      <c r="Q106" s="127">
        <v>0</v>
      </c>
      <c r="R106" s="127">
        <v>0</v>
      </c>
      <c r="S106" s="127">
        <v>0</v>
      </c>
      <c r="T106" s="127">
        <v>0</v>
      </c>
      <c r="U106" s="127">
        <v>0</v>
      </c>
      <c r="V106" s="127">
        <v>0</v>
      </c>
      <c r="W106" s="127">
        <v>203.45</v>
      </c>
      <c r="X106" s="127">
        <v>310.26</v>
      </c>
      <c r="Y106" s="127">
        <v>309.42</v>
      </c>
      <c r="Z106" s="127">
        <v>309.42</v>
      </c>
      <c r="AA106" s="127">
        <v>309.42</v>
      </c>
      <c r="AB106" s="127">
        <v>105.13</v>
      </c>
      <c r="AC106" s="127">
        <v>0</v>
      </c>
      <c r="AD106" s="127">
        <v>0</v>
      </c>
      <c r="AE106" s="127">
        <v>0</v>
      </c>
      <c r="AF106" s="128">
        <v>0</v>
      </c>
      <c r="AG106" s="127">
        <v>0</v>
      </c>
      <c r="AH106" s="127"/>
      <c r="AI106" s="127"/>
      <c r="AJ106" s="127"/>
      <c r="AK106" s="127">
        <v>1547.1</v>
      </c>
      <c r="AL106" s="128">
        <f t="shared" si="134"/>
        <v>1547.1</v>
      </c>
    </row>
    <row r="107" spans="2:38" s="129" customFormat="1" ht="9">
      <c r="B107" s="130" t="s">
        <v>690</v>
      </c>
      <c r="C107" s="124" t="s">
        <v>691</v>
      </c>
      <c r="D107" s="125" t="s">
        <v>716</v>
      </c>
      <c r="E107" s="126" t="s">
        <v>133</v>
      </c>
      <c r="F107" s="126" t="s">
        <v>717</v>
      </c>
      <c r="G107" s="127">
        <v>1719</v>
      </c>
      <c r="H107" s="127">
        <f t="shared" si="132"/>
        <v>171.9</v>
      </c>
      <c r="I107" s="127">
        <f t="shared" si="133"/>
        <v>1547.1000000000001</v>
      </c>
      <c r="J107" s="127">
        <v>0</v>
      </c>
      <c r="K107" s="127">
        <v>0</v>
      </c>
      <c r="L107" s="127">
        <v>0</v>
      </c>
      <c r="M107" s="127">
        <v>0</v>
      </c>
      <c r="N107" s="127">
        <v>0</v>
      </c>
      <c r="O107" s="127">
        <v>0</v>
      </c>
      <c r="P107" s="127">
        <v>0</v>
      </c>
      <c r="Q107" s="127">
        <v>0</v>
      </c>
      <c r="R107" s="127">
        <v>0</v>
      </c>
      <c r="S107" s="127">
        <v>0</v>
      </c>
      <c r="T107" s="127">
        <v>0</v>
      </c>
      <c r="U107" s="127">
        <v>0</v>
      </c>
      <c r="V107" s="127">
        <v>0</v>
      </c>
      <c r="W107" s="127">
        <v>203.45</v>
      </c>
      <c r="X107" s="127">
        <v>310.26</v>
      </c>
      <c r="Y107" s="127">
        <v>309.42</v>
      </c>
      <c r="Z107" s="127">
        <v>309.42</v>
      </c>
      <c r="AA107" s="127">
        <v>309.42</v>
      </c>
      <c r="AB107" s="127">
        <v>105.13</v>
      </c>
      <c r="AC107" s="127">
        <v>0</v>
      </c>
      <c r="AD107" s="127">
        <v>0</v>
      </c>
      <c r="AE107" s="127">
        <v>0</v>
      </c>
      <c r="AF107" s="128">
        <v>0</v>
      </c>
      <c r="AG107" s="127">
        <v>0</v>
      </c>
      <c r="AH107" s="127"/>
      <c r="AI107" s="127"/>
      <c r="AJ107" s="127"/>
      <c r="AK107" s="127">
        <v>1547.1</v>
      </c>
      <c r="AL107" s="128">
        <f t="shared" si="134"/>
        <v>1547.1</v>
      </c>
    </row>
    <row r="108" spans="2:38" s="129" customFormat="1" ht="9">
      <c r="B108" s="130" t="s">
        <v>718</v>
      </c>
      <c r="C108" s="124" t="s">
        <v>719</v>
      </c>
      <c r="D108" s="125" t="s">
        <v>720</v>
      </c>
      <c r="E108" s="126" t="s">
        <v>121</v>
      </c>
      <c r="F108" s="126" t="s">
        <v>721</v>
      </c>
      <c r="G108" s="127">
        <v>19473.93</v>
      </c>
      <c r="H108" s="127">
        <f t="shared" si="132"/>
        <v>1947.393</v>
      </c>
      <c r="I108" s="127">
        <f t="shared" si="133"/>
        <v>17526.537</v>
      </c>
      <c r="J108" s="127">
        <v>0</v>
      </c>
      <c r="K108" s="127">
        <v>0</v>
      </c>
      <c r="L108" s="127">
        <v>0</v>
      </c>
      <c r="M108" s="127">
        <v>0</v>
      </c>
      <c r="N108" s="127">
        <v>0</v>
      </c>
      <c r="O108" s="127">
        <v>0</v>
      </c>
      <c r="P108" s="127">
        <v>0</v>
      </c>
      <c r="Q108" s="127">
        <v>0</v>
      </c>
      <c r="R108" s="127">
        <v>0</v>
      </c>
      <c r="S108" s="127">
        <v>0</v>
      </c>
      <c r="T108" s="127">
        <v>0</v>
      </c>
      <c r="U108" s="127">
        <v>0</v>
      </c>
      <c r="V108" s="127">
        <v>0</v>
      </c>
      <c r="W108" s="127">
        <v>605.03</v>
      </c>
      <c r="X108" s="127">
        <v>3514.91</v>
      </c>
      <c r="Y108" s="127">
        <v>3505.31</v>
      </c>
      <c r="Z108" s="127">
        <v>3505.31</v>
      </c>
      <c r="AA108" s="127">
        <v>3505.31</v>
      </c>
      <c r="AB108" s="127">
        <v>2890.67</v>
      </c>
      <c r="AC108" s="127">
        <v>0</v>
      </c>
      <c r="AD108" s="127">
        <v>0</v>
      </c>
      <c r="AE108" s="127">
        <v>0</v>
      </c>
      <c r="AF108" s="128">
        <v>0</v>
      </c>
      <c r="AG108" s="127">
        <v>0</v>
      </c>
      <c r="AH108" s="127"/>
      <c r="AI108" s="127"/>
      <c r="AJ108" s="127"/>
      <c r="AK108" s="127">
        <v>17526.54</v>
      </c>
      <c r="AL108" s="128">
        <f t="shared" si="134"/>
        <v>17526.54</v>
      </c>
    </row>
    <row r="109" spans="2:38" s="129" customFormat="1" ht="16.5">
      <c r="B109" s="165" t="s">
        <v>722</v>
      </c>
      <c r="C109" s="157" t="s">
        <v>723</v>
      </c>
      <c r="D109" s="184" t="s">
        <v>724</v>
      </c>
      <c r="E109" s="168" t="s">
        <v>195</v>
      </c>
      <c r="F109" s="168" t="s">
        <v>725</v>
      </c>
      <c r="G109" s="128">
        <v>2762</v>
      </c>
      <c r="H109" s="128">
        <f t="shared" si="132"/>
        <v>276.2</v>
      </c>
      <c r="I109" s="128">
        <f t="shared" si="133"/>
        <v>2485.8000000000002</v>
      </c>
      <c r="J109" s="128">
        <v>0</v>
      </c>
      <c r="K109" s="128">
        <v>0</v>
      </c>
      <c r="L109" s="128">
        <v>0</v>
      </c>
      <c r="M109" s="128">
        <v>0</v>
      </c>
      <c r="N109" s="128">
        <v>0</v>
      </c>
      <c r="O109" s="128">
        <v>0</v>
      </c>
      <c r="P109" s="128">
        <v>0</v>
      </c>
      <c r="Q109" s="128">
        <v>0</v>
      </c>
      <c r="R109" s="128">
        <v>0</v>
      </c>
      <c r="S109" s="128">
        <v>0</v>
      </c>
      <c r="T109" s="128">
        <v>0</v>
      </c>
      <c r="U109" s="128">
        <v>0</v>
      </c>
      <c r="V109" s="128">
        <v>0</v>
      </c>
      <c r="W109" s="128">
        <v>0</v>
      </c>
      <c r="X109" s="128">
        <v>232.9</v>
      </c>
      <c r="Y109" s="128">
        <v>497.12</v>
      </c>
      <c r="Z109" s="128">
        <v>497.12</v>
      </c>
      <c r="AA109" s="128">
        <v>497.12</v>
      </c>
      <c r="AB109" s="128">
        <v>498.48</v>
      </c>
      <c r="AC109" s="128">
        <v>263.06</v>
      </c>
      <c r="AD109" s="128">
        <v>0</v>
      </c>
      <c r="AE109" s="128">
        <v>0</v>
      </c>
      <c r="AF109" s="128">
        <v>0</v>
      </c>
      <c r="AG109" s="127">
        <v>0</v>
      </c>
      <c r="AH109" s="127"/>
      <c r="AI109" s="127"/>
      <c r="AJ109" s="127"/>
      <c r="AK109" s="128">
        <v>2485.8000000000002</v>
      </c>
      <c r="AL109" s="128">
        <f t="shared" si="134"/>
        <v>2485.8000000000002</v>
      </c>
    </row>
    <row r="110" spans="2:38" s="129" customFormat="1" ht="16.5">
      <c r="B110" s="165" t="s">
        <v>726</v>
      </c>
      <c r="C110" s="157" t="s">
        <v>727</v>
      </c>
      <c r="D110" s="184" t="s">
        <v>728</v>
      </c>
      <c r="E110" s="168" t="s">
        <v>121</v>
      </c>
      <c r="F110" s="168" t="s">
        <v>729</v>
      </c>
      <c r="G110" s="128">
        <v>2101.8000000000002</v>
      </c>
      <c r="H110" s="128">
        <f t="shared" si="132"/>
        <v>210.18000000000004</v>
      </c>
      <c r="I110" s="128">
        <f t="shared" si="133"/>
        <v>1891.6200000000001</v>
      </c>
      <c r="J110" s="128">
        <v>0</v>
      </c>
      <c r="K110" s="128">
        <v>0</v>
      </c>
      <c r="L110" s="128">
        <v>0</v>
      </c>
      <c r="M110" s="128">
        <v>0</v>
      </c>
      <c r="N110" s="128">
        <v>0</v>
      </c>
      <c r="O110" s="128">
        <v>0</v>
      </c>
      <c r="P110" s="128">
        <v>0</v>
      </c>
      <c r="Q110" s="128">
        <v>0</v>
      </c>
      <c r="R110" s="128">
        <v>0</v>
      </c>
      <c r="S110" s="128">
        <v>0</v>
      </c>
      <c r="T110" s="128">
        <v>0</v>
      </c>
      <c r="U110" s="128">
        <v>0</v>
      </c>
      <c r="V110" s="128">
        <v>0</v>
      </c>
      <c r="W110" s="128">
        <v>0</v>
      </c>
      <c r="X110" s="128">
        <v>161.69999999999999</v>
      </c>
      <c r="Y110" s="128">
        <v>378.33</v>
      </c>
      <c r="Z110" s="128">
        <v>378.33</v>
      </c>
      <c r="AA110" s="128">
        <v>378.33</v>
      </c>
      <c r="AB110" s="128">
        <v>379.37</v>
      </c>
      <c r="AC110" s="128">
        <v>215.56</v>
      </c>
      <c r="AD110" s="128">
        <v>0</v>
      </c>
      <c r="AE110" s="128">
        <v>0</v>
      </c>
      <c r="AF110" s="128">
        <v>0</v>
      </c>
      <c r="AG110" s="127">
        <v>0</v>
      </c>
      <c r="AH110" s="127"/>
      <c r="AI110" s="127"/>
      <c r="AJ110" s="127"/>
      <c r="AK110" s="128">
        <v>1891.62</v>
      </c>
      <c r="AL110" s="128">
        <f t="shared" si="134"/>
        <v>1891.62</v>
      </c>
    </row>
    <row r="111" spans="2:38" s="129" customFormat="1" ht="9">
      <c r="B111" s="130" t="s">
        <v>730</v>
      </c>
      <c r="C111" s="124" t="s">
        <v>731</v>
      </c>
      <c r="D111" s="125" t="s">
        <v>732</v>
      </c>
      <c r="E111" s="126" t="s">
        <v>121</v>
      </c>
      <c r="F111" s="126" t="s">
        <v>733</v>
      </c>
      <c r="G111" s="127">
        <v>2476.1999999999998</v>
      </c>
      <c r="H111" s="127">
        <f t="shared" si="132"/>
        <v>247.62</v>
      </c>
      <c r="I111" s="127">
        <f t="shared" si="133"/>
        <v>2228.58</v>
      </c>
      <c r="J111" s="127">
        <v>0</v>
      </c>
      <c r="K111" s="127">
        <v>0</v>
      </c>
      <c r="L111" s="127">
        <v>0</v>
      </c>
      <c r="M111" s="127">
        <v>0</v>
      </c>
      <c r="N111" s="127">
        <v>0</v>
      </c>
      <c r="O111" s="127">
        <v>0</v>
      </c>
      <c r="P111" s="127">
        <v>0</v>
      </c>
      <c r="Q111" s="127">
        <v>0</v>
      </c>
      <c r="R111" s="127">
        <v>0</v>
      </c>
      <c r="S111" s="127">
        <v>0</v>
      </c>
      <c r="T111" s="127">
        <v>0</v>
      </c>
      <c r="U111" s="127">
        <v>0</v>
      </c>
      <c r="V111" s="127">
        <v>0</v>
      </c>
      <c r="W111" s="127">
        <v>0</v>
      </c>
      <c r="X111" s="127">
        <v>69.61</v>
      </c>
      <c r="Y111" s="127">
        <v>445.73</v>
      </c>
      <c r="Z111" s="127">
        <v>445.73</v>
      </c>
      <c r="AA111" s="127">
        <v>445.73</v>
      </c>
      <c r="AB111" s="127">
        <v>446.95</v>
      </c>
      <c r="AC111" s="127">
        <v>374.83</v>
      </c>
      <c r="AD111" s="127">
        <v>0</v>
      </c>
      <c r="AE111" s="127">
        <v>0</v>
      </c>
      <c r="AF111" s="128">
        <v>0</v>
      </c>
      <c r="AG111" s="127">
        <v>0</v>
      </c>
      <c r="AH111" s="127"/>
      <c r="AI111" s="127"/>
      <c r="AJ111" s="127"/>
      <c r="AK111" s="127">
        <v>2228.58</v>
      </c>
      <c r="AL111" s="128">
        <f t="shared" si="134"/>
        <v>2228.58</v>
      </c>
    </row>
    <row r="112" spans="2:38" s="129" customFormat="1" ht="16.5">
      <c r="B112" s="130" t="s">
        <v>734</v>
      </c>
      <c r="C112" s="124" t="s">
        <v>735</v>
      </c>
      <c r="D112" s="125" t="s">
        <v>736</v>
      </c>
      <c r="E112" s="126" t="s">
        <v>121</v>
      </c>
      <c r="F112" s="126" t="s">
        <v>737</v>
      </c>
      <c r="G112" s="127">
        <v>1394.82</v>
      </c>
      <c r="H112" s="127">
        <f t="shared" si="132"/>
        <v>139.482</v>
      </c>
      <c r="I112" s="127">
        <f t="shared" si="133"/>
        <v>1255.338</v>
      </c>
      <c r="J112" s="127">
        <v>0</v>
      </c>
      <c r="K112" s="127">
        <v>0</v>
      </c>
      <c r="L112" s="127">
        <v>0</v>
      </c>
      <c r="M112" s="127">
        <v>0</v>
      </c>
      <c r="N112" s="127">
        <v>0</v>
      </c>
      <c r="O112" s="127">
        <v>0</v>
      </c>
      <c r="P112" s="127">
        <v>0</v>
      </c>
      <c r="Q112" s="127">
        <v>0</v>
      </c>
      <c r="R112" s="127">
        <v>0</v>
      </c>
      <c r="S112" s="127">
        <v>0</v>
      </c>
      <c r="T112" s="127">
        <v>0</v>
      </c>
      <c r="U112" s="127">
        <v>0</v>
      </c>
      <c r="V112" s="127">
        <v>0</v>
      </c>
      <c r="W112" s="127">
        <v>0</v>
      </c>
      <c r="X112" s="127">
        <v>14.44</v>
      </c>
      <c r="Y112" s="127">
        <v>251.06</v>
      </c>
      <c r="Z112" s="127">
        <v>251.06</v>
      </c>
      <c r="AA112" s="127">
        <v>251.06</v>
      </c>
      <c r="AB112" s="127">
        <v>251.75</v>
      </c>
      <c r="AC112" s="127">
        <v>235.97</v>
      </c>
      <c r="AD112" s="127">
        <v>0</v>
      </c>
      <c r="AE112" s="127">
        <v>0</v>
      </c>
      <c r="AF112" s="128">
        <v>0</v>
      </c>
      <c r="AG112" s="127">
        <v>0</v>
      </c>
      <c r="AH112" s="127"/>
      <c r="AI112" s="127"/>
      <c r="AJ112" s="127"/>
      <c r="AK112" s="127">
        <v>1255.3399999999999</v>
      </c>
      <c r="AL112" s="128">
        <f t="shared" si="134"/>
        <v>1255.3399999999999</v>
      </c>
    </row>
    <row r="113" spans="2:38" s="129" customFormat="1" ht="9">
      <c r="B113" s="130" t="s">
        <v>491</v>
      </c>
      <c r="C113" s="124" t="s">
        <v>738</v>
      </c>
      <c r="D113" s="124" t="s">
        <v>739</v>
      </c>
      <c r="E113" s="126" t="s">
        <v>116</v>
      </c>
      <c r="F113" s="126" t="s">
        <v>740</v>
      </c>
      <c r="G113" s="127">
        <v>1375</v>
      </c>
      <c r="H113" s="127">
        <f t="shared" si="132"/>
        <v>137.5</v>
      </c>
      <c r="I113" s="127">
        <f t="shared" si="133"/>
        <v>1237.5</v>
      </c>
      <c r="J113" s="127">
        <v>0</v>
      </c>
      <c r="K113" s="127">
        <v>0</v>
      </c>
      <c r="L113" s="127">
        <v>0</v>
      </c>
      <c r="M113" s="127">
        <v>0</v>
      </c>
      <c r="N113" s="127">
        <v>0</v>
      </c>
      <c r="O113" s="127">
        <v>0</v>
      </c>
      <c r="P113" s="127">
        <v>0</v>
      </c>
      <c r="Q113" s="127">
        <v>0</v>
      </c>
      <c r="R113" s="127">
        <v>0</v>
      </c>
      <c r="S113" s="127">
        <v>0</v>
      </c>
      <c r="T113" s="127">
        <v>0</v>
      </c>
      <c r="U113" s="127">
        <v>0</v>
      </c>
      <c r="V113" s="127">
        <v>0</v>
      </c>
      <c r="W113" s="127">
        <v>0</v>
      </c>
      <c r="X113" s="127">
        <v>12.21</v>
      </c>
      <c r="Y113" s="127">
        <v>247.49</v>
      </c>
      <c r="Z113" s="127">
        <v>247.49</v>
      </c>
      <c r="AA113" s="127">
        <v>247.49</v>
      </c>
      <c r="AB113" s="127">
        <v>248.16</v>
      </c>
      <c r="AC113" s="127">
        <v>234.66</v>
      </c>
      <c r="AD113" s="127">
        <v>0</v>
      </c>
      <c r="AE113" s="127">
        <v>0</v>
      </c>
      <c r="AF113" s="128">
        <v>0</v>
      </c>
      <c r="AG113" s="127">
        <v>0</v>
      </c>
      <c r="AH113" s="127"/>
      <c r="AI113" s="127"/>
      <c r="AJ113" s="127"/>
      <c r="AK113" s="127">
        <v>1237.5</v>
      </c>
      <c r="AL113" s="128">
        <f t="shared" si="134"/>
        <v>1237.5</v>
      </c>
    </row>
    <row r="114" spans="2:38" s="129" customFormat="1" ht="9">
      <c r="B114" s="130" t="s">
        <v>491</v>
      </c>
      <c r="C114" s="124" t="s">
        <v>738</v>
      </c>
      <c r="D114" s="124" t="s">
        <v>741</v>
      </c>
      <c r="E114" s="126" t="s">
        <v>231</v>
      </c>
      <c r="F114" s="126" t="s">
        <v>742</v>
      </c>
      <c r="G114" s="127">
        <v>1375</v>
      </c>
      <c r="H114" s="127">
        <f t="shared" si="132"/>
        <v>137.5</v>
      </c>
      <c r="I114" s="127">
        <f t="shared" si="133"/>
        <v>1237.5</v>
      </c>
      <c r="J114" s="127">
        <v>0</v>
      </c>
      <c r="K114" s="127">
        <v>0</v>
      </c>
      <c r="L114" s="127">
        <v>0</v>
      </c>
      <c r="M114" s="127">
        <v>0</v>
      </c>
      <c r="N114" s="127">
        <v>0</v>
      </c>
      <c r="O114" s="127">
        <v>0</v>
      </c>
      <c r="P114" s="127">
        <v>0</v>
      </c>
      <c r="Q114" s="127">
        <v>0</v>
      </c>
      <c r="R114" s="127">
        <v>0</v>
      </c>
      <c r="S114" s="127">
        <v>0</v>
      </c>
      <c r="T114" s="127">
        <v>0</v>
      </c>
      <c r="U114" s="127">
        <v>0</v>
      </c>
      <c r="V114" s="127">
        <v>0</v>
      </c>
      <c r="W114" s="127">
        <v>0</v>
      </c>
      <c r="X114" s="127">
        <v>12.21</v>
      </c>
      <c r="Y114" s="127">
        <v>247.49</v>
      </c>
      <c r="Z114" s="127">
        <v>247.49</v>
      </c>
      <c r="AA114" s="127">
        <v>247.49</v>
      </c>
      <c r="AB114" s="127">
        <v>248.16</v>
      </c>
      <c r="AC114" s="127">
        <v>234.66</v>
      </c>
      <c r="AD114" s="127">
        <v>0</v>
      </c>
      <c r="AE114" s="127">
        <v>0</v>
      </c>
      <c r="AF114" s="128">
        <v>0</v>
      </c>
      <c r="AG114" s="127">
        <v>0</v>
      </c>
      <c r="AH114" s="127"/>
      <c r="AI114" s="127"/>
      <c r="AJ114" s="127"/>
      <c r="AK114" s="127">
        <v>1237.5</v>
      </c>
      <c r="AL114" s="128">
        <f t="shared" si="134"/>
        <v>1237.5</v>
      </c>
    </row>
    <row r="115" spans="2:38" s="129" customFormat="1" ht="9">
      <c r="B115" s="130" t="s">
        <v>491</v>
      </c>
      <c r="C115" s="124" t="s">
        <v>738</v>
      </c>
      <c r="D115" s="124" t="s">
        <v>743</v>
      </c>
      <c r="E115" s="126" t="s">
        <v>112</v>
      </c>
      <c r="F115" s="126" t="s">
        <v>744</v>
      </c>
      <c r="G115" s="127">
        <v>1375</v>
      </c>
      <c r="H115" s="127">
        <f t="shared" si="132"/>
        <v>137.5</v>
      </c>
      <c r="I115" s="127">
        <f t="shared" si="133"/>
        <v>1237.5</v>
      </c>
      <c r="J115" s="127">
        <v>0</v>
      </c>
      <c r="K115" s="127">
        <v>0</v>
      </c>
      <c r="L115" s="127">
        <v>0</v>
      </c>
      <c r="M115" s="127">
        <v>0</v>
      </c>
      <c r="N115" s="127">
        <v>0</v>
      </c>
      <c r="O115" s="127">
        <v>0</v>
      </c>
      <c r="P115" s="127">
        <v>0</v>
      </c>
      <c r="Q115" s="127">
        <v>0</v>
      </c>
      <c r="R115" s="127">
        <v>0</v>
      </c>
      <c r="S115" s="127">
        <v>0</v>
      </c>
      <c r="T115" s="127">
        <v>0</v>
      </c>
      <c r="U115" s="127">
        <v>0</v>
      </c>
      <c r="V115" s="127">
        <v>0</v>
      </c>
      <c r="W115" s="127">
        <v>0</v>
      </c>
      <c r="X115" s="127">
        <v>12.21</v>
      </c>
      <c r="Y115" s="127">
        <v>247.49</v>
      </c>
      <c r="Z115" s="127">
        <v>247.49</v>
      </c>
      <c r="AA115" s="127">
        <v>247.49</v>
      </c>
      <c r="AB115" s="127">
        <v>248.16</v>
      </c>
      <c r="AC115" s="127">
        <v>234.66</v>
      </c>
      <c r="AD115" s="127">
        <v>0</v>
      </c>
      <c r="AE115" s="127">
        <v>0</v>
      </c>
      <c r="AF115" s="128">
        <v>0</v>
      </c>
      <c r="AG115" s="127">
        <v>0</v>
      </c>
      <c r="AH115" s="127"/>
      <c r="AI115" s="127"/>
      <c r="AJ115" s="127"/>
      <c r="AK115" s="127">
        <v>1237.5</v>
      </c>
      <c r="AL115" s="128">
        <f t="shared" si="134"/>
        <v>1237.5</v>
      </c>
    </row>
    <row r="116" spans="2:38" s="129" customFormat="1" ht="9">
      <c r="B116" s="130" t="s">
        <v>491</v>
      </c>
      <c r="C116" s="124" t="s">
        <v>738</v>
      </c>
      <c r="D116" s="124" t="s">
        <v>745</v>
      </c>
      <c r="E116" s="126" t="s">
        <v>658</v>
      </c>
      <c r="F116" s="126" t="s">
        <v>746</v>
      </c>
      <c r="G116" s="127">
        <v>1375</v>
      </c>
      <c r="H116" s="127">
        <f t="shared" si="132"/>
        <v>137.5</v>
      </c>
      <c r="I116" s="127">
        <f t="shared" si="133"/>
        <v>1237.5</v>
      </c>
      <c r="J116" s="127">
        <v>0</v>
      </c>
      <c r="K116" s="127">
        <v>0</v>
      </c>
      <c r="L116" s="127">
        <v>0</v>
      </c>
      <c r="M116" s="127">
        <v>0</v>
      </c>
      <c r="N116" s="127">
        <v>0</v>
      </c>
      <c r="O116" s="127">
        <v>0</v>
      </c>
      <c r="P116" s="127">
        <v>0</v>
      </c>
      <c r="Q116" s="127">
        <v>0</v>
      </c>
      <c r="R116" s="127">
        <v>0</v>
      </c>
      <c r="S116" s="127">
        <v>0</v>
      </c>
      <c r="T116" s="127">
        <v>0</v>
      </c>
      <c r="U116" s="127">
        <v>0</v>
      </c>
      <c r="V116" s="127">
        <v>0</v>
      </c>
      <c r="W116" s="127">
        <v>0</v>
      </c>
      <c r="X116" s="127">
        <v>12.21</v>
      </c>
      <c r="Y116" s="127">
        <v>247.49</v>
      </c>
      <c r="Z116" s="127">
        <v>247.49</v>
      </c>
      <c r="AA116" s="127">
        <v>247.49</v>
      </c>
      <c r="AB116" s="127">
        <v>248.16</v>
      </c>
      <c r="AC116" s="127">
        <v>234.66</v>
      </c>
      <c r="AD116" s="127">
        <v>0</v>
      </c>
      <c r="AE116" s="127">
        <v>0</v>
      </c>
      <c r="AF116" s="128">
        <v>0</v>
      </c>
      <c r="AG116" s="127">
        <v>0</v>
      </c>
      <c r="AH116" s="127"/>
      <c r="AI116" s="127"/>
      <c r="AJ116" s="127"/>
      <c r="AK116" s="127">
        <v>1237.5</v>
      </c>
      <c r="AL116" s="128">
        <f t="shared" si="134"/>
        <v>1237.5</v>
      </c>
    </row>
    <row r="117" spans="2:38" s="129" customFormat="1" ht="9">
      <c r="B117" s="130" t="s">
        <v>491</v>
      </c>
      <c r="C117" s="124" t="s">
        <v>738</v>
      </c>
      <c r="D117" s="124" t="s">
        <v>747</v>
      </c>
      <c r="E117" s="126" t="s">
        <v>709</v>
      </c>
      <c r="F117" s="126" t="s">
        <v>748</v>
      </c>
      <c r="G117" s="127">
        <v>1375</v>
      </c>
      <c r="H117" s="127">
        <f t="shared" si="132"/>
        <v>137.5</v>
      </c>
      <c r="I117" s="127">
        <f t="shared" si="133"/>
        <v>1237.5</v>
      </c>
      <c r="J117" s="127">
        <v>0</v>
      </c>
      <c r="K117" s="127">
        <v>0</v>
      </c>
      <c r="L117" s="127">
        <v>0</v>
      </c>
      <c r="M117" s="127">
        <v>0</v>
      </c>
      <c r="N117" s="127">
        <v>0</v>
      </c>
      <c r="O117" s="127">
        <v>0</v>
      </c>
      <c r="P117" s="127">
        <v>0</v>
      </c>
      <c r="Q117" s="127">
        <v>0</v>
      </c>
      <c r="R117" s="127">
        <v>0</v>
      </c>
      <c r="S117" s="127">
        <v>0</v>
      </c>
      <c r="T117" s="127">
        <v>0</v>
      </c>
      <c r="U117" s="127">
        <v>0</v>
      </c>
      <c r="V117" s="127">
        <v>0</v>
      </c>
      <c r="W117" s="127">
        <v>0</v>
      </c>
      <c r="X117" s="127">
        <v>12.21</v>
      </c>
      <c r="Y117" s="127">
        <v>247.49</v>
      </c>
      <c r="Z117" s="127">
        <v>247.49</v>
      </c>
      <c r="AA117" s="127">
        <v>247.49</v>
      </c>
      <c r="AB117" s="127">
        <v>248.16</v>
      </c>
      <c r="AC117" s="127">
        <v>234.66</v>
      </c>
      <c r="AD117" s="127">
        <v>0</v>
      </c>
      <c r="AE117" s="127">
        <v>0</v>
      </c>
      <c r="AF117" s="128">
        <v>0</v>
      </c>
      <c r="AG117" s="127">
        <v>0</v>
      </c>
      <c r="AH117" s="127"/>
      <c r="AI117" s="127"/>
      <c r="AJ117" s="127"/>
      <c r="AK117" s="127">
        <v>1237.5</v>
      </c>
      <c r="AL117" s="128">
        <f t="shared" si="134"/>
        <v>1237.5</v>
      </c>
    </row>
    <row r="118" spans="2:38" s="129" customFormat="1" ht="9">
      <c r="B118" s="130" t="s">
        <v>491</v>
      </c>
      <c r="C118" s="124" t="s">
        <v>738</v>
      </c>
      <c r="D118" s="124" t="s">
        <v>749</v>
      </c>
      <c r="E118" s="126" t="s">
        <v>216</v>
      </c>
      <c r="F118" s="126" t="s">
        <v>750</v>
      </c>
      <c r="G118" s="127">
        <v>1375</v>
      </c>
      <c r="H118" s="127">
        <f t="shared" si="132"/>
        <v>137.5</v>
      </c>
      <c r="I118" s="127">
        <f t="shared" si="133"/>
        <v>1237.5</v>
      </c>
      <c r="J118" s="127">
        <v>0</v>
      </c>
      <c r="K118" s="127">
        <v>0</v>
      </c>
      <c r="L118" s="127">
        <v>0</v>
      </c>
      <c r="M118" s="127">
        <v>0</v>
      </c>
      <c r="N118" s="127">
        <v>0</v>
      </c>
      <c r="O118" s="127">
        <v>0</v>
      </c>
      <c r="P118" s="127">
        <v>0</v>
      </c>
      <c r="Q118" s="127">
        <v>0</v>
      </c>
      <c r="R118" s="127">
        <v>0</v>
      </c>
      <c r="S118" s="127">
        <v>0</v>
      </c>
      <c r="T118" s="127">
        <v>0</v>
      </c>
      <c r="U118" s="127">
        <v>0</v>
      </c>
      <c r="V118" s="127">
        <v>0</v>
      </c>
      <c r="W118" s="127">
        <v>0</v>
      </c>
      <c r="X118" s="127">
        <v>12.21</v>
      </c>
      <c r="Y118" s="127">
        <v>247.49</v>
      </c>
      <c r="Z118" s="127">
        <v>247.49</v>
      </c>
      <c r="AA118" s="127">
        <v>247.49</v>
      </c>
      <c r="AB118" s="127">
        <v>248.16</v>
      </c>
      <c r="AC118" s="127">
        <v>234.66</v>
      </c>
      <c r="AD118" s="127">
        <v>0</v>
      </c>
      <c r="AE118" s="127">
        <v>0</v>
      </c>
      <c r="AF118" s="128">
        <v>0</v>
      </c>
      <c r="AG118" s="127">
        <v>0</v>
      </c>
      <c r="AH118" s="127"/>
      <c r="AI118" s="127"/>
      <c r="AJ118" s="127"/>
      <c r="AK118" s="127">
        <v>1237.5</v>
      </c>
      <c r="AL118" s="128">
        <f t="shared" si="134"/>
        <v>1237.5</v>
      </c>
    </row>
    <row r="119" spans="2:38" s="129" customFormat="1" ht="9">
      <c r="B119" s="130" t="s">
        <v>491</v>
      </c>
      <c r="C119" s="124" t="s">
        <v>738</v>
      </c>
      <c r="D119" s="124" t="s">
        <v>751</v>
      </c>
      <c r="E119" s="126" t="s">
        <v>712</v>
      </c>
      <c r="F119" s="126" t="s">
        <v>752</v>
      </c>
      <c r="G119" s="127">
        <v>1375</v>
      </c>
      <c r="H119" s="127">
        <f t="shared" si="132"/>
        <v>137.5</v>
      </c>
      <c r="I119" s="127">
        <f t="shared" si="133"/>
        <v>1237.5</v>
      </c>
      <c r="J119" s="127">
        <v>0</v>
      </c>
      <c r="K119" s="127">
        <v>0</v>
      </c>
      <c r="L119" s="127">
        <v>0</v>
      </c>
      <c r="M119" s="127">
        <v>0</v>
      </c>
      <c r="N119" s="127">
        <v>0</v>
      </c>
      <c r="O119" s="127">
        <v>0</v>
      </c>
      <c r="P119" s="127">
        <v>0</v>
      </c>
      <c r="Q119" s="127">
        <v>0</v>
      </c>
      <c r="R119" s="127">
        <v>0</v>
      </c>
      <c r="S119" s="127">
        <v>0</v>
      </c>
      <c r="T119" s="127">
        <v>0</v>
      </c>
      <c r="U119" s="127">
        <v>0</v>
      </c>
      <c r="V119" s="127">
        <v>0</v>
      </c>
      <c r="W119" s="127">
        <v>0</v>
      </c>
      <c r="X119" s="127">
        <v>12.21</v>
      </c>
      <c r="Y119" s="127">
        <v>247.49</v>
      </c>
      <c r="Z119" s="127">
        <v>247.49</v>
      </c>
      <c r="AA119" s="127">
        <v>247.49</v>
      </c>
      <c r="AB119" s="127">
        <v>248.16</v>
      </c>
      <c r="AC119" s="127">
        <v>234.66</v>
      </c>
      <c r="AD119" s="127">
        <v>0</v>
      </c>
      <c r="AE119" s="127">
        <v>0</v>
      </c>
      <c r="AF119" s="128">
        <v>0</v>
      </c>
      <c r="AG119" s="127">
        <v>0</v>
      </c>
      <c r="AH119" s="127"/>
      <c r="AI119" s="127"/>
      <c r="AJ119" s="127"/>
      <c r="AK119" s="127">
        <v>1237.5</v>
      </c>
      <c r="AL119" s="128">
        <f t="shared" si="134"/>
        <v>1237.5</v>
      </c>
    </row>
    <row r="120" spans="2:38" s="129" customFormat="1" ht="9">
      <c r="B120" s="130" t="s">
        <v>491</v>
      </c>
      <c r="C120" s="124" t="s">
        <v>738</v>
      </c>
      <c r="D120" s="124" t="s">
        <v>753</v>
      </c>
      <c r="E120" s="126" t="s">
        <v>112</v>
      </c>
      <c r="F120" s="126" t="s">
        <v>754</v>
      </c>
      <c r="G120" s="127">
        <v>1375</v>
      </c>
      <c r="H120" s="127">
        <f t="shared" si="132"/>
        <v>137.5</v>
      </c>
      <c r="I120" s="127">
        <f t="shared" si="133"/>
        <v>1237.5</v>
      </c>
      <c r="J120" s="127">
        <v>0</v>
      </c>
      <c r="K120" s="127">
        <v>0</v>
      </c>
      <c r="L120" s="127">
        <v>0</v>
      </c>
      <c r="M120" s="127">
        <v>0</v>
      </c>
      <c r="N120" s="127">
        <v>0</v>
      </c>
      <c r="O120" s="127">
        <v>0</v>
      </c>
      <c r="P120" s="127">
        <v>0</v>
      </c>
      <c r="Q120" s="127">
        <v>0</v>
      </c>
      <c r="R120" s="127">
        <v>0</v>
      </c>
      <c r="S120" s="127">
        <v>0</v>
      </c>
      <c r="T120" s="127">
        <v>0</v>
      </c>
      <c r="U120" s="127">
        <v>0</v>
      </c>
      <c r="V120" s="127">
        <v>0</v>
      </c>
      <c r="W120" s="127">
        <v>0</v>
      </c>
      <c r="X120" s="127">
        <v>12.21</v>
      </c>
      <c r="Y120" s="127">
        <v>247.49</v>
      </c>
      <c r="Z120" s="127">
        <v>247.49</v>
      </c>
      <c r="AA120" s="127">
        <v>247.49</v>
      </c>
      <c r="AB120" s="127">
        <v>248.16</v>
      </c>
      <c r="AC120" s="127">
        <v>234.66</v>
      </c>
      <c r="AD120" s="127">
        <v>0</v>
      </c>
      <c r="AE120" s="127">
        <v>0</v>
      </c>
      <c r="AF120" s="128">
        <v>0</v>
      </c>
      <c r="AG120" s="127">
        <v>0</v>
      </c>
      <c r="AH120" s="127"/>
      <c r="AI120" s="127"/>
      <c r="AJ120" s="127"/>
      <c r="AK120" s="127">
        <v>1237.5</v>
      </c>
      <c r="AL120" s="128">
        <f t="shared" si="134"/>
        <v>1237.5</v>
      </c>
    </row>
    <row r="121" spans="2:38" s="129" customFormat="1" ht="9">
      <c r="B121" s="130" t="s">
        <v>491</v>
      </c>
      <c r="C121" s="124" t="s">
        <v>738</v>
      </c>
      <c r="D121" s="124" t="s">
        <v>755</v>
      </c>
      <c r="E121" s="126" t="s">
        <v>756</v>
      </c>
      <c r="F121" s="126" t="s">
        <v>757</v>
      </c>
      <c r="G121" s="127">
        <v>1375</v>
      </c>
      <c r="H121" s="127">
        <f t="shared" si="132"/>
        <v>137.5</v>
      </c>
      <c r="I121" s="127">
        <f t="shared" si="133"/>
        <v>1237.5</v>
      </c>
      <c r="J121" s="127">
        <v>0</v>
      </c>
      <c r="K121" s="127">
        <v>0</v>
      </c>
      <c r="L121" s="127">
        <v>0</v>
      </c>
      <c r="M121" s="127">
        <v>0</v>
      </c>
      <c r="N121" s="127">
        <v>0</v>
      </c>
      <c r="O121" s="127">
        <v>0</v>
      </c>
      <c r="P121" s="127">
        <v>0</v>
      </c>
      <c r="Q121" s="127">
        <v>0</v>
      </c>
      <c r="R121" s="127">
        <v>0</v>
      </c>
      <c r="S121" s="127">
        <v>0</v>
      </c>
      <c r="T121" s="127">
        <v>0</v>
      </c>
      <c r="U121" s="127">
        <v>0</v>
      </c>
      <c r="V121" s="127">
        <v>0</v>
      </c>
      <c r="W121" s="127">
        <v>0</v>
      </c>
      <c r="X121" s="127">
        <v>12.21</v>
      </c>
      <c r="Y121" s="127">
        <v>247.49</v>
      </c>
      <c r="Z121" s="127">
        <v>247.49</v>
      </c>
      <c r="AA121" s="127">
        <v>247.49</v>
      </c>
      <c r="AB121" s="127">
        <v>248.16</v>
      </c>
      <c r="AC121" s="127">
        <v>234.66</v>
      </c>
      <c r="AD121" s="127">
        <v>0</v>
      </c>
      <c r="AE121" s="127">
        <v>0</v>
      </c>
      <c r="AF121" s="128">
        <v>0</v>
      </c>
      <c r="AG121" s="127">
        <v>0</v>
      </c>
      <c r="AH121" s="127"/>
      <c r="AI121" s="127"/>
      <c r="AJ121" s="127"/>
      <c r="AK121" s="127">
        <v>1237.5</v>
      </c>
      <c r="AL121" s="128">
        <f t="shared" si="134"/>
        <v>1237.5</v>
      </c>
    </row>
    <row r="122" spans="2:38" s="129" customFormat="1" ht="16.5">
      <c r="B122" s="130" t="s">
        <v>758</v>
      </c>
      <c r="C122" s="124" t="s">
        <v>691</v>
      </c>
      <c r="D122" s="124" t="s">
        <v>759</v>
      </c>
      <c r="E122" s="126" t="s">
        <v>175</v>
      </c>
      <c r="F122" s="126" t="s">
        <v>760</v>
      </c>
      <c r="G122" s="127">
        <v>1367.12</v>
      </c>
      <c r="H122" s="127">
        <f t="shared" si="132"/>
        <v>136.71199999999999</v>
      </c>
      <c r="I122" s="127">
        <f t="shared" si="133"/>
        <v>1230.4079999999999</v>
      </c>
      <c r="J122" s="127">
        <v>0</v>
      </c>
      <c r="K122" s="127">
        <v>0</v>
      </c>
      <c r="L122" s="127">
        <v>0</v>
      </c>
      <c r="M122" s="127">
        <v>0</v>
      </c>
      <c r="N122" s="127">
        <v>0</v>
      </c>
      <c r="O122" s="127">
        <v>0</v>
      </c>
      <c r="P122" s="127">
        <v>0</v>
      </c>
      <c r="Q122" s="127">
        <v>0</v>
      </c>
      <c r="R122" s="127">
        <v>0</v>
      </c>
      <c r="S122" s="127">
        <v>0</v>
      </c>
      <c r="T122" s="127">
        <v>0</v>
      </c>
      <c r="U122" s="127">
        <v>0</v>
      </c>
      <c r="V122" s="127">
        <v>0</v>
      </c>
      <c r="W122" s="127">
        <v>0</v>
      </c>
      <c r="X122" s="127">
        <v>0</v>
      </c>
      <c r="Y122" s="127">
        <v>48.55</v>
      </c>
      <c r="Z122" s="127">
        <v>246.1</v>
      </c>
      <c r="AA122" s="127">
        <v>246.1</v>
      </c>
      <c r="AB122" s="127">
        <v>246.77</v>
      </c>
      <c r="AC122" s="127">
        <v>246.1</v>
      </c>
      <c r="AD122" s="127">
        <v>196.79</v>
      </c>
      <c r="AE122" s="127">
        <v>0</v>
      </c>
      <c r="AF122" s="128">
        <v>0</v>
      </c>
      <c r="AG122" s="127">
        <v>0</v>
      </c>
      <c r="AH122" s="127"/>
      <c r="AI122" s="127"/>
      <c r="AJ122" s="127"/>
      <c r="AK122" s="127">
        <v>1230.4100000000001</v>
      </c>
      <c r="AL122" s="128">
        <f t="shared" si="134"/>
        <v>1230.4100000000001</v>
      </c>
    </row>
    <row r="123" spans="2:38" s="129" customFormat="1" ht="9">
      <c r="B123" s="130" t="s">
        <v>592</v>
      </c>
      <c r="C123" s="124" t="s">
        <v>274</v>
      </c>
      <c r="D123" s="185" t="s">
        <v>761</v>
      </c>
      <c r="E123" s="126" t="s">
        <v>121</v>
      </c>
      <c r="F123" s="126" t="s">
        <v>762</v>
      </c>
      <c r="G123" s="127">
        <v>3450</v>
      </c>
      <c r="H123" s="127">
        <f t="shared" si="132"/>
        <v>345</v>
      </c>
      <c r="I123" s="127">
        <f t="shared" si="133"/>
        <v>3105</v>
      </c>
      <c r="J123" s="127">
        <v>0</v>
      </c>
      <c r="K123" s="127">
        <v>0</v>
      </c>
      <c r="L123" s="127">
        <v>0</v>
      </c>
      <c r="M123" s="127">
        <v>0</v>
      </c>
      <c r="N123" s="127">
        <v>0</v>
      </c>
      <c r="O123" s="127">
        <v>0</v>
      </c>
      <c r="P123" s="127">
        <v>0</v>
      </c>
      <c r="Q123" s="127">
        <v>0</v>
      </c>
      <c r="R123" s="127">
        <v>0</v>
      </c>
      <c r="S123" s="127">
        <v>0</v>
      </c>
      <c r="T123" s="127">
        <v>0</v>
      </c>
      <c r="U123" s="127">
        <v>0</v>
      </c>
      <c r="V123" s="127">
        <v>0</v>
      </c>
      <c r="W123" s="127">
        <v>0</v>
      </c>
      <c r="X123" s="127">
        <v>0</v>
      </c>
      <c r="Y123" s="127">
        <v>0</v>
      </c>
      <c r="Z123" s="127">
        <v>282.42</v>
      </c>
      <c r="AA123" s="127">
        <v>620.98</v>
      </c>
      <c r="AB123" s="127">
        <v>622.67999999999995</v>
      </c>
      <c r="AC123" s="127">
        <v>620.98</v>
      </c>
      <c r="AD123" s="127">
        <v>620.98</v>
      </c>
      <c r="AE123" s="127">
        <v>336.96</v>
      </c>
      <c r="AF123" s="128">
        <v>0</v>
      </c>
      <c r="AG123" s="127">
        <v>0</v>
      </c>
      <c r="AH123" s="127"/>
      <c r="AI123" s="127"/>
      <c r="AJ123" s="127"/>
      <c r="AK123" s="127">
        <v>3105</v>
      </c>
      <c r="AL123" s="128">
        <f t="shared" si="134"/>
        <v>3105</v>
      </c>
    </row>
    <row r="124" spans="2:38" s="129" customFormat="1" ht="9">
      <c r="B124" s="130" t="s">
        <v>592</v>
      </c>
      <c r="C124" s="124" t="s">
        <v>274</v>
      </c>
      <c r="D124" s="186" t="s">
        <v>763</v>
      </c>
      <c r="E124" s="126" t="s">
        <v>121</v>
      </c>
      <c r="F124" s="126" t="s">
        <v>764</v>
      </c>
      <c r="G124" s="127">
        <v>3450</v>
      </c>
      <c r="H124" s="127">
        <f t="shared" si="132"/>
        <v>345</v>
      </c>
      <c r="I124" s="127">
        <f t="shared" si="133"/>
        <v>3105</v>
      </c>
      <c r="J124" s="127">
        <v>0</v>
      </c>
      <c r="K124" s="127">
        <v>0</v>
      </c>
      <c r="L124" s="127">
        <v>0</v>
      </c>
      <c r="M124" s="127">
        <v>0</v>
      </c>
      <c r="N124" s="127">
        <v>0</v>
      </c>
      <c r="O124" s="127">
        <v>0</v>
      </c>
      <c r="P124" s="127">
        <v>0</v>
      </c>
      <c r="Q124" s="127">
        <v>0</v>
      </c>
      <c r="R124" s="127">
        <v>0</v>
      </c>
      <c r="S124" s="127">
        <v>0</v>
      </c>
      <c r="T124" s="127">
        <v>0</v>
      </c>
      <c r="U124" s="127">
        <v>0</v>
      </c>
      <c r="V124" s="127">
        <v>0</v>
      </c>
      <c r="W124" s="127">
        <v>0</v>
      </c>
      <c r="X124" s="127">
        <v>0</v>
      </c>
      <c r="Y124" s="127">
        <v>0</v>
      </c>
      <c r="Z124" s="127">
        <v>282.42</v>
      </c>
      <c r="AA124" s="127">
        <v>620.98</v>
      </c>
      <c r="AB124" s="127">
        <v>622.98</v>
      </c>
      <c r="AC124" s="127">
        <v>620.98</v>
      </c>
      <c r="AD124" s="127">
        <v>620.98</v>
      </c>
      <c r="AE124" s="127">
        <v>336.96</v>
      </c>
      <c r="AF124" s="128">
        <v>0</v>
      </c>
      <c r="AG124" s="127">
        <v>0</v>
      </c>
      <c r="AH124" s="127"/>
      <c r="AI124" s="127"/>
      <c r="AJ124" s="127"/>
      <c r="AK124" s="127">
        <v>3105</v>
      </c>
      <c r="AL124" s="128">
        <f t="shared" si="134"/>
        <v>3105</v>
      </c>
    </row>
    <row r="125" spans="2:38" s="129" customFormat="1" ht="16.5">
      <c r="B125" s="130" t="s">
        <v>592</v>
      </c>
      <c r="C125" s="124" t="s">
        <v>765</v>
      </c>
      <c r="D125" s="186" t="s">
        <v>766</v>
      </c>
      <c r="E125" s="126" t="s">
        <v>121</v>
      </c>
      <c r="F125" s="126" t="s">
        <v>767</v>
      </c>
      <c r="G125" s="127">
        <v>3165</v>
      </c>
      <c r="H125" s="127">
        <f t="shared" si="132"/>
        <v>316.5</v>
      </c>
      <c r="I125" s="127">
        <f t="shared" si="133"/>
        <v>2848.5</v>
      </c>
      <c r="J125" s="127">
        <v>0</v>
      </c>
      <c r="K125" s="127">
        <v>0</v>
      </c>
      <c r="L125" s="127">
        <v>0</v>
      </c>
      <c r="M125" s="127">
        <v>0</v>
      </c>
      <c r="N125" s="127">
        <v>0</v>
      </c>
      <c r="O125" s="127">
        <v>0</v>
      </c>
      <c r="P125" s="127">
        <v>0</v>
      </c>
      <c r="Q125" s="127">
        <v>0</v>
      </c>
      <c r="R125" s="127">
        <v>0</v>
      </c>
      <c r="S125" s="127">
        <v>0</v>
      </c>
      <c r="T125" s="127">
        <v>0</v>
      </c>
      <c r="U125" s="127">
        <v>0</v>
      </c>
      <c r="V125" s="127">
        <v>0</v>
      </c>
      <c r="W125" s="127">
        <v>0</v>
      </c>
      <c r="X125" s="127">
        <v>0</v>
      </c>
      <c r="Y125" s="127">
        <v>0</v>
      </c>
      <c r="Z125" s="127">
        <v>259.10000000000002</v>
      </c>
      <c r="AA125" s="127">
        <v>569.71</v>
      </c>
      <c r="AB125" s="127">
        <v>571.27</v>
      </c>
      <c r="AC125" s="127">
        <v>569.71</v>
      </c>
      <c r="AD125" s="127">
        <v>569.71</v>
      </c>
      <c r="AE125" s="127">
        <v>309</v>
      </c>
      <c r="AF125" s="128">
        <v>0</v>
      </c>
      <c r="AG125" s="127">
        <v>0</v>
      </c>
      <c r="AH125" s="127"/>
      <c r="AI125" s="127"/>
      <c r="AJ125" s="127"/>
      <c r="AK125" s="127">
        <v>2848.5</v>
      </c>
      <c r="AL125" s="128">
        <f t="shared" si="134"/>
        <v>2848.5</v>
      </c>
    </row>
    <row r="126" spans="2:38" s="129" customFormat="1" ht="9">
      <c r="B126" s="130" t="s">
        <v>592</v>
      </c>
      <c r="C126" s="124" t="s">
        <v>765</v>
      </c>
      <c r="D126" s="186" t="s">
        <v>768</v>
      </c>
      <c r="E126" s="126" t="s">
        <v>175</v>
      </c>
      <c r="F126" s="126" t="s">
        <v>769</v>
      </c>
      <c r="G126" s="127">
        <v>2435</v>
      </c>
      <c r="H126" s="127">
        <f t="shared" si="132"/>
        <v>243.5</v>
      </c>
      <c r="I126" s="127">
        <f t="shared" si="133"/>
        <v>2191.5</v>
      </c>
      <c r="J126" s="127">
        <v>0</v>
      </c>
      <c r="K126" s="127">
        <v>0</v>
      </c>
      <c r="L126" s="127">
        <v>0</v>
      </c>
      <c r="M126" s="127">
        <v>0</v>
      </c>
      <c r="N126" s="127">
        <v>0</v>
      </c>
      <c r="O126" s="127">
        <v>0</v>
      </c>
      <c r="P126" s="127">
        <v>0</v>
      </c>
      <c r="Q126" s="127">
        <v>0</v>
      </c>
      <c r="R126" s="127">
        <v>0</v>
      </c>
      <c r="S126" s="127">
        <v>0</v>
      </c>
      <c r="T126" s="127">
        <v>0</v>
      </c>
      <c r="U126" s="127">
        <v>0</v>
      </c>
      <c r="V126" s="127">
        <v>0</v>
      </c>
      <c r="W126" s="127">
        <v>0</v>
      </c>
      <c r="X126" s="127">
        <v>0</v>
      </c>
      <c r="Y126" s="127">
        <v>0</v>
      </c>
      <c r="Z126" s="127">
        <v>199.34</v>
      </c>
      <c r="AA126" s="127">
        <v>438.31</v>
      </c>
      <c r="AB126" s="127">
        <v>439.51</v>
      </c>
      <c r="AC126" s="127">
        <v>438.31</v>
      </c>
      <c r="AD126" s="127">
        <v>438.31</v>
      </c>
      <c r="AE126" s="127">
        <v>237.72</v>
      </c>
      <c r="AF126" s="128">
        <v>0</v>
      </c>
      <c r="AG126" s="127">
        <v>0</v>
      </c>
      <c r="AH126" s="127"/>
      <c r="AI126" s="127"/>
      <c r="AJ126" s="127"/>
      <c r="AK126" s="127">
        <v>2191.5</v>
      </c>
      <c r="AL126" s="128">
        <f t="shared" si="134"/>
        <v>2191.5</v>
      </c>
    </row>
    <row r="127" spans="2:38" s="129" customFormat="1" ht="9">
      <c r="B127" s="130" t="s">
        <v>592</v>
      </c>
      <c r="C127" s="124" t="s">
        <v>765</v>
      </c>
      <c r="D127" s="186" t="s">
        <v>770</v>
      </c>
      <c r="E127" s="126" t="s">
        <v>175</v>
      </c>
      <c r="F127" s="126" t="s">
        <v>771</v>
      </c>
      <c r="G127" s="127">
        <v>2435</v>
      </c>
      <c r="H127" s="127">
        <f t="shared" si="132"/>
        <v>243.5</v>
      </c>
      <c r="I127" s="127">
        <f t="shared" si="133"/>
        <v>2191.5</v>
      </c>
      <c r="J127" s="127">
        <v>0</v>
      </c>
      <c r="K127" s="127">
        <v>0</v>
      </c>
      <c r="L127" s="127">
        <v>0</v>
      </c>
      <c r="M127" s="127">
        <v>0</v>
      </c>
      <c r="N127" s="127">
        <v>0</v>
      </c>
      <c r="O127" s="127">
        <v>0</v>
      </c>
      <c r="P127" s="127">
        <v>0</v>
      </c>
      <c r="Q127" s="127">
        <v>0</v>
      </c>
      <c r="R127" s="127">
        <v>0</v>
      </c>
      <c r="S127" s="127">
        <v>0</v>
      </c>
      <c r="T127" s="127">
        <v>0</v>
      </c>
      <c r="U127" s="127">
        <v>0</v>
      </c>
      <c r="V127" s="127">
        <v>0</v>
      </c>
      <c r="W127" s="127">
        <v>0</v>
      </c>
      <c r="X127" s="127">
        <v>0</v>
      </c>
      <c r="Y127" s="127">
        <v>0</v>
      </c>
      <c r="Z127" s="127">
        <v>199.34</v>
      </c>
      <c r="AA127" s="127">
        <v>438.31</v>
      </c>
      <c r="AB127" s="127">
        <v>439.51</v>
      </c>
      <c r="AC127" s="127">
        <v>438.31</v>
      </c>
      <c r="AD127" s="127">
        <v>438.31</v>
      </c>
      <c r="AE127" s="127">
        <v>237.72</v>
      </c>
      <c r="AF127" s="128">
        <v>0</v>
      </c>
      <c r="AG127" s="127">
        <v>0</v>
      </c>
      <c r="AH127" s="127"/>
      <c r="AI127" s="127"/>
      <c r="AJ127" s="127"/>
      <c r="AK127" s="127">
        <v>2191.5</v>
      </c>
      <c r="AL127" s="128">
        <f t="shared" si="134"/>
        <v>2191.5</v>
      </c>
    </row>
    <row r="128" spans="2:38" s="129" customFormat="1" ht="9">
      <c r="B128" s="130" t="s">
        <v>592</v>
      </c>
      <c r="C128" s="124" t="s">
        <v>765</v>
      </c>
      <c r="D128" s="186" t="s">
        <v>772</v>
      </c>
      <c r="E128" s="126" t="s">
        <v>175</v>
      </c>
      <c r="F128" s="126" t="s">
        <v>773</v>
      </c>
      <c r="G128" s="127">
        <v>2435</v>
      </c>
      <c r="H128" s="127">
        <f t="shared" si="132"/>
        <v>243.5</v>
      </c>
      <c r="I128" s="127">
        <f t="shared" si="133"/>
        <v>2191.5</v>
      </c>
      <c r="J128" s="127">
        <v>0</v>
      </c>
      <c r="K128" s="127">
        <v>0</v>
      </c>
      <c r="L128" s="127">
        <v>0</v>
      </c>
      <c r="M128" s="127">
        <v>0</v>
      </c>
      <c r="N128" s="127">
        <v>0</v>
      </c>
      <c r="O128" s="127">
        <v>0</v>
      </c>
      <c r="P128" s="127">
        <v>0</v>
      </c>
      <c r="Q128" s="127">
        <v>0</v>
      </c>
      <c r="R128" s="127">
        <v>0</v>
      </c>
      <c r="S128" s="127">
        <v>0</v>
      </c>
      <c r="T128" s="127">
        <v>0</v>
      </c>
      <c r="U128" s="127">
        <v>0</v>
      </c>
      <c r="V128" s="127">
        <v>0</v>
      </c>
      <c r="W128" s="127">
        <v>0</v>
      </c>
      <c r="X128" s="127">
        <v>0</v>
      </c>
      <c r="Y128" s="127">
        <v>0</v>
      </c>
      <c r="Z128" s="127">
        <v>199.34</v>
      </c>
      <c r="AA128" s="127">
        <v>438.31</v>
      </c>
      <c r="AB128" s="127">
        <v>439.51</v>
      </c>
      <c r="AC128" s="127">
        <v>438.31</v>
      </c>
      <c r="AD128" s="127">
        <v>438.31</v>
      </c>
      <c r="AE128" s="127">
        <v>237.72</v>
      </c>
      <c r="AF128" s="128">
        <v>0</v>
      </c>
      <c r="AG128" s="127">
        <v>0</v>
      </c>
      <c r="AH128" s="127"/>
      <c r="AI128" s="127"/>
      <c r="AJ128" s="127"/>
      <c r="AK128" s="127">
        <v>2191.5</v>
      </c>
      <c r="AL128" s="128">
        <f t="shared" si="134"/>
        <v>2191.5</v>
      </c>
    </row>
    <row r="129" spans="2:38" s="129" customFormat="1" ht="16.5">
      <c r="B129" s="130" t="s">
        <v>592</v>
      </c>
      <c r="C129" s="124" t="s">
        <v>765</v>
      </c>
      <c r="D129" s="187" t="s">
        <v>774</v>
      </c>
      <c r="E129" s="126" t="s">
        <v>175</v>
      </c>
      <c r="F129" s="126" t="s">
        <v>775</v>
      </c>
      <c r="G129" s="127">
        <v>2435</v>
      </c>
      <c r="H129" s="127">
        <f t="shared" si="132"/>
        <v>243.5</v>
      </c>
      <c r="I129" s="127">
        <f t="shared" si="133"/>
        <v>2191.5</v>
      </c>
      <c r="J129" s="127">
        <v>0</v>
      </c>
      <c r="K129" s="127">
        <v>0</v>
      </c>
      <c r="L129" s="127">
        <v>0</v>
      </c>
      <c r="M129" s="127">
        <v>0</v>
      </c>
      <c r="N129" s="127">
        <v>0</v>
      </c>
      <c r="O129" s="127">
        <v>0</v>
      </c>
      <c r="P129" s="127">
        <v>0</v>
      </c>
      <c r="Q129" s="127">
        <v>0</v>
      </c>
      <c r="R129" s="127">
        <v>0</v>
      </c>
      <c r="S129" s="127">
        <v>0</v>
      </c>
      <c r="T129" s="127">
        <v>0</v>
      </c>
      <c r="U129" s="127">
        <v>0</v>
      </c>
      <c r="V129" s="127">
        <v>0</v>
      </c>
      <c r="W129" s="127">
        <v>0</v>
      </c>
      <c r="X129" s="127">
        <v>0</v>
      </c>
      <c r="Y129" s="127">
        <v>0</v>
      </c>
      <c r="Z129" s="127">
        <v>199.34</v>
      </c>
      <c r="AA129" s="127">
        <v>438.31</v>
      </c>
      <c r="AB129" s="127">
        <v>439.51</v>
      </c>
      <c r="AC129" s="127">
        <v>438.31</v>
      </c>
      <c r="AD129" s="127">
        <v>438.31</v>
      </c>
      <c r="AE129" s="127">
        <v>237.72</v>
      </c>
      <c r="AF129" s="128">
        <v>0</v>
      </c>
      <c r="AG129" s="127">
        <v>0</v>
      </c>
      <c r="AH129" s="127"/>
      <c r="AI129" s="127"/>
      <c r="AJ129" s="127"/>
      <c r="AK129" s="127">
        <v>2191.5</v>
      </c>
      <c r="AL129" s="128">
        <f t="shared" si="134"/>
        <v>2191.5</v>
      </c>
    </row>
    <row r="130" spans="2:38" s="129" customFormat="1" ht="9">
      <c r="B130" s="130" t="s">
        <v>592</v>
      </c>
      <c r="C130" s="124" t="s">
        <v>765</v>
      </c>
      <c r="D130" s="186" t="s">
        <v>776</v>
      </c>
      <c r="E130" s="126" t="s">
        <v>175</v>
      </c>
      <c r="F130" s="126" t="s">
        <v>777</v>
      </c>
      <c r="G130" s="127">
        <v>2435</v>
      </c>
      <c r="H130" s="127">
        <f t="shared" si="132"/>
        <v>243.5</v>
      </c>
      <c r="I130" s="127">
        <f t="shared" si="133"/>
        <v>2191.5</v>
      </c>
      <c r="J130" s="127">
        <v>0</v>
      </c>
      <c r="K130" s="127">
        <v>0</v>
      </c>
      <c r="L130" s="127">
        <v>0</v>
      </c>
      <c r="M130" s="127">
        <v>0</v>
      </c>
      <c r="N130" s="127">
        <v>0</v>
      </c>
      <c r="O130" s="127">
        <v>0</v>
      </c>
      <c r="P130" s="127">
        <v>0</v>
      </c>
      <c r="Q130" s="127">
        <v>0</v>
      </c>
      <c r="R130" s="127">
        <v>0</v>
      </c>
      <c r="S130" s="127">
        <v>0</v>
      </c>
      <c r="T130" s="127">
        <v>0</v>
      </c>
      <c r="U130" s="127">
        <v>0</v>
      </c>
      <c r="V130" s="127">
        <v>0</v>
      </c>
      <c r="W130" s="127">
        <v>0</v>
      </c>
      <c r="X130" s="127">
        <v>0</v>
      </c>
      <c r="Y130" s="127">
        <v>0</v>
      </c>
      <c r="Z130" s="127">
        <v>199.34</v>
      </c>
      <c r="AA130" s="127">
        <v>438.31</v>
      </c>
      <c r="AB130" s="127">
        <v>439.51</v>
      </c>
      <c r="AC130" s="127">
        <v>438.31</v>
      </c>
      <c r="AD130" s="127">
        <v>438.31</v>
      </c>
      <c r="AE130" s="127">
        <v>237.72</v>
      </c>
      <c r="AF130" s="128">
        <v>0</v>
      </c>
      <c r="AG130" s="127">
        <v>0</v>
      </c>
      <c r="AH130" s="127"/>
      <c r="AI130" s="127"/>
      <c r="AJ130" s="127"/>
      <c r="AK130" s="127">
        <v>2191.5</v>
      </c>
      <c r="AL130" s="128">
        <f t="shared" si="134"/>
        <v>2191.5</v>
      </c>
    </row>
    <row r="131" spans="2:38" s="129" customFormat="1" ht="16.5">
      <c r="B131" s="130" t="s">
        <v>592</v>
      </c>
      <c r="C131" s="124" t="s">
        <v>765</v>
      </c>
      <c r="D131" s="186" t="s">
        <v>778</v>
      </c>
      <c r="E131" s="126" t="s">
        <v>175</v>
      </c>
      <c r="F131" s="126" t="s">
        <v>779</v>
      </c>
      <c r="G131" s="127">
        <v>2435</v>
      </c>
      <c r="H131" s="127">
        <f t="shared" si="132"/>
        <v>243.5</v>
      </c>
      <c r="I131" s="127">
        <f t="shared" si="133"/>
        <v>2191.5</v>
      </c>
      <c r="J131" s="127">
        <v>0</v>
      </c>
      <c r="K131" s="127">
        <v>0</v>
      </c>
      <c r="L131" s="127">
        <v>0</v>
      </c>
      <c r="M131" s="127">
        <v>0</v>
      </c>
      <c r="N131" s="127">
        <v>0</v>
      </c>
      <c r="O131" s="127">
        <v>0</v>
      </c>
      <c r="P131" s="127">
        <v>0</v>
      </c>
      <c r="Q131" s="127">
        <v>0</v>
      </c>
      <c r="R131" s="127">
        <v>0</v>
      </c>
      <c r="S131" s="127">
        <v>0</v>
      </c>
      <c r="T131" s="127">
        <v>0</v>
      </c>
      <c r="U131" s="127">
        <v>0</v>
      </c>
      <c r="V131" s="127">
        <v>0</v>
      </c>
      <c r="W131" s="127">
        <v>0</v>
      </c>
      <c r="X131" s="127">
        <v>0</v>
      </c>
      <c r="Y131" s="127">
        <v>0</v>
      </c>
      <c r="Z131" s="127">
        <v>199.34</v>
      </c>
      <c r="AA131" s="127">
        <v>438.31</v>
      </c>
      <c r="AB131" s="127">
        <v>439.51</v>
      </c>
      <c r="AC131" s="127">
        <v>438.31</v>
      </c>
      <c r="AD131" s="127">
        <v>438.31</v>
      </c>
      <c r="AE131" s="127">
        <v>237.72</v>
      </c>
      <c r="AF131" s="128">
        <v>0</v>
      </c>
      <c r="AG131" s="127">
        <v>0</v>
      </c>
      <c r="AH131" s="127"/>
      <c r="AI131" s="127"/>
      <c r="AJ131" s="127"/>
      <c r="AK131" s="127">
        <v>2191.5</v>
      </c>
      <c r="AL131" s="128">
        <f t="shared" si="134"/>
        <v>2191.5</v>
      </c>
    </row>
    <row r="132" spans="2:38" s="129" customFormat="1" ht="9">
      <c r="B132" s="130" t="s">
        <v>592</v>
      </c>
      <c r="C132" s="124" t="s">
        <v>765</v>
      </c>
      <c r="D132" s="186" t="s">
        <v>780</v>
      </c>
      <c r="E132" s="126" t="s">
        <v>175</v>
      </c>
      <c r="F132" s="126" t="s">
        <v>781</v>
      </c>
      <c r="G132" s="127">
        <v>2435</v>
      </c>
      <c r="H132" s="127">
        <f t="shared" si="132"/>
        <v>243.5</v>
      </c>
      <c r="I132" s="127">
        <f t="shared" si="133"/>
        <v>2191.5</v>
      </c>
      <c r="J132" s="127">
        <v>0</v>
      </c>
      <c r="K132" s="127">
        <v>0</v>
      </c>
      <c r="L132" s="127">
        <v>0</v>
      </c>
      <c r="M132" s="127">
        <v>0</v>
      </c>
      <c r="N132" s="127">
        <v>0</v>
      </c>
      <c r="O132" s="127">
        <v>0</v>
      </c>
      <c r="P132" s="127">
        <v>0</v>
      </c>
      <c r="Q132" s="127">
        <v>0</v>
      </c>
      <c r="R132" s="127">
        <v>0</v>
      </c>
      <c r="S132" s="127">
        <v>0</v>
      </c>
      <c r="T132" s="127">
        <v>0</v>
      </c>
      <c r="U132" s="127">
        <v>0</v>
      </c>
      <c r="V132" s="127">
        <v>0</v>
      </c>
      <c r="W132" s="127">
        <v>0</v>
      </c>
      <c r="X132" s="127">
        <v>0</v>
      </c>
      <c r="Y132" s="127">
        <v>0</v>
      </c>
      <c r="Z132" s="127">
        <v>199.34</v>
      </c>
      <c r="AA132" s="127">
        <v>438.31</v>
      </c>
      <c r="AB132" s="127">
        <v>439.51</v>
      </c>
      <c r="AC132" s="127">
        <v>438.31</v>
      </c>
      <c r="AD132" s="127">
        <v>438.31</v>
      </c>
      <c r="AE132" s="127">
        <v>237.72</v>
      </c>
      <c r="AF132" s="128">
        <v>0</v>
      </c>
      <c r="AG132" s="127">
        <v>0</v>
      </c>
      <c r="AH132" s="127"/>
      <c r="AI132" s="127"/>
      <c r="AJ132" s="127"/>
      <c r="AK132" s="127">
        <v>2191.5</v>
      </c>
      <c r="AL132" s="128">
        <f t="shared" si="134"/>
        <v>2191.5</v>
      </c>
    </row>
    <row r="133" spans="2:38" s="129" customFormat="1" ht="9">
      <c r="B133" s="182" t="s">
        <v>782</v>
      </c>
      <c r="C133" s="166" t="s">
        <v>783</v>
      </c>
      <c r="D133" s="185" t="s">
        <v>784</v>
      </c>
      <c r="E133" s="183" t="s">
        <v>175</v>
      </c>
      <c r="F133" s="183" t="s">
        <v>785</v>
      </c>
      <c r="G133" s="154">
        <v>3105</v>
      </c>
      <c r="H133" s="154">
        <f t="shared" si="132"/>
        <v>310.5</v>
      </c>
      <c r="I133" s="154">
        <f t="shared" si="133"/>
        <v>2794.5</v>
      </c>
      <c r="J133" s="154">
        <v>0</v>
      </c>
      <c r="K133" s="154">
        <v>0</v>
      </c>
      <c r="L133" s="154">
        <v>0</v>
      </c>
      <c r="M133" s="154">
        <v>0</v>
      </c>
      <c r="N133" s="154">
        <v>0</v>
      </c>
      <c r="O133" s="154">
        <v>0</v>
      </c>
      <c r="P133" s="154">
        <v>0</v>
      </c>
      <c r="Q133" s="154">
        <v>0</v>
      </c>
      <c r="R133" s="154">
        <v>0</v>
      </c>
      <c r="S133" s="154">
        <v>0</v>
      </c>
      <c r="T133" s="154">
        <v>0</v>
      </c>
      <c r="U133" s="154">
        <v>0</v>
      </c>
      <c r="V133" s="154">
        <v>0</v>
      </c>
      <c r="W133" s="154">
        <v>0</v>
      </c>
      <c r="X133" s="154">
        <v>0</v>
      </c>
      <c r="Y133" s="154">
        <v>0</v>
      </c>
      <c r="Z133" s="154">
        <v>0</v>
      </c>
      <c r="AA133" s="154">
        <v>543.61</v>
      </c>
      <c r="AB133" s="154">
        <v>560.46</v>
      </c>
      <c r="AC133" s="154">
        <v>558.91999999999996</v>
      </c>
      <c r="AD133" s="154">
        <v>558.91999999999996</v>
      </c>
      <c r="AE133" s="154">
        <v>558.91999999999996</v>
      </c>
      <c r="AF133" s="128">
        <v>13.67</v>
      </c>
      <c r="AG133" s="127">
        <v>0</v>
      </c>
      <c r="AH133" s="127"/>
      <c r="AI133" s="127"/>
      <c r="AJ133" s="127"/>
      <c r="AK133" s="154">
        <f>SUM(AA133:AF133)</f>
        <v>2794.5000000000005</v>
      </c>
      <c r="AL133" s="128">
        <f t="shared" si="134"/>
        <v>2794.5000000000005</v>
      </c>
    </row>
    <row r="134" spans="2:38" s="129" customFormat="1" ht="9">
      <c r="B134" s="182" t="s">
        <v>786</v>
      </c>
      <c r="C134" s="166" t="s">
        <v>787</v>
      </c>
      <c r="D134" s="185" t="s">
        <v>788</v>
      </c>
      <c r="E134" s="183" t="s">
        <v>216</v>
      </c>
      <c r="F134" s="183" t="s">
        <v>789</v>
      </c>
      <c r="G134" s="154">
        <v>4500</v>
      </c>
      <c r="H134" s="154">
        <f t="shared" si="132"/>
        <v>450</v>
      </c>
      <c r="I134" s="154">
        <f t="shared" si="133"/>
        <v>4050</v>
      </c>
      <c r="J134" s="154">
        <v>0</v>
      </c>
      <c r="K134" s="154">
        <v>0</v>
      </c>
      <c r="L134" s="154">
        <v>0</v>
      </c>
      <c r="M134" s="154">
        <v>0</v>
      </c>
      <c r="N134" s="154">
        <v>0</v>
      </c>
      <c r="O134" s="154">
        <v>0</v>
      </c>
      <c r="P134" s="154">
        <v>0</v>
      </c>
      <c r="Q134" s="154">
        <v>0</v>
      </c>
      <c r="R134" s="154">
        <v>0</v>
      </c>
      <c r="S134" s="154">
        <v>0</v>
      </c>
      <c r="T134" s="154">
        <v>0</v>
      </c>
      <c r="U134" s="154">
        <v>0</v>
      </c>
      <c r="V134" s="154">
        <v>0</v>
      </c>
      <c r="W134" s="154">
        <v>0</v>
      </c>
      <c r="X134" s="154">
        <v>0</v>
      </c>
      <c r="Y134" s="154">
        <v>0</v>
      </c>
      <c r="Z134" s="154">
        <v>0</v>
      </c>
      <c r="AA134" s="154">
        <v>730.1</v>
      </c>
      <c r="AB134" s="154">
        <v>812.21</v>
      </c>
      <c r="AC134" s="154">
        <v>809.99</v>
      </c>
      <c r="AD134" s="154">
        <v>809.99</v>
      </c>
      <c r="AE134" s="154">
        <v>809.99</v>
      </c>
      <c r="AF134" s="128">
        <v>77.72</v>
      </c>
      <c r="AG134" s="127">
        <v>0</v>
      </c>
      <c r="AH134" s="127"/>
      <c r="AI134" s="127"/>
      <c r="AJ134" s="127"/>
      <c r="AK134" s="154">
        <f>SUM(AA134:AF134)</f>
        <v>4049.9999999999995</v>
      </c>
      <c r="AL134" s="128">
        <f t="shared" si="134"/>
        <v>4049.9999999999995</v>
      </c>
    </row>
    <row r="135" spans="2:38" s="129" customFormat="1" ht="16.5">
      <c r="B135" s="165" t="s">
        <v>790</v>
      </c>
      <c r="C135" s="124" t="s">
        <v>791</v>
      </c>
      <c r="D135" s="185" t="s">
        <v>792</v>
      </c>
      <c r="E135" s="168" t="s">
        <v>121</v>
      </c>
      <c r="F135" s="168" t="s">
        <v>793</v>
      </c>
      <c r="G135" s="128">
        <v>3202.98</v>
      </c>
      <c r="H135" s="128">
        <f t="shared" si="132"/>
        <v>320.298</v>
      </c>
      <c r="I135" s="128">
        <f t="shared" si="133"/>
        <v>2882.6820000000002</v>
      </c>
      <c r="J135" s="154">
        <v>0</v>
      </c>
      <c r="K135" s="154">
        <v>0</v>
      </c>
      <c r="L135" s="154">
        <v>0</v>
      </c>
      <c r="M135" s="154">
        <v>0</v>
      </c>
      <c r="N135" s="154">
        <v>0</v>
      </c>
      <c r="O135" s="154">
        <v>0</v>
      </c>
      <c r="P135" s="154">
        <v>0</v>
      </c>
      <c r="Q135" s="154">
        <v>0</v>
      </c>
      <c r="R135" s="154">
        <v>0</v>
      </c>
      <c r="S135" s="154">
        <v>0</v>
      </c>
      <c r="T135" s="154">
        <v>0</v>
      </c>
      <c r="U135" s="154">
        <v>0</v>
      </c>
      <c r="V135" s="154">
        <v>0</v>
      </c>
      <c r="W135" s="154">
        <v>0</v>
      </c>
      <c r="X135" s="154">
        <v>0</v>
      </c>
      <c r="Y135" s="154">
        <v>0</v>
      </c>
      <c r="Z135" s="154">
        <v>0</v>
      </c>
      <c r="AA135" s="128">
        <v>66.349999999999994</v>
      </c>
      <c r="AB135" s="128">
        <v>578.16</v>
      </c>
      <c r="AC135" s="128">
        <v>576.58000000000004</v>
      </c>
      <c r="AD135" s="128">
        <v>576.58000000000004</v>
      </c>
      <c r="AE135" s="128">
        <v>576.58000000000004</v>
      </c>
      <c r="AF135" s="128">
        <v>508.43</v>
      </c>
      <c r="AG135" s="127">
        <v>0</v>
      </c>
      <c r="AH135" s="127"/>
      <c r="AI135" s="127"/>
      <c r="AJ135" s="127"/>
      <c r="AK135" s="128">
        <f>SUM(AA135:AF135)</f>
        <v>2882.68</v>
      </c>
      <c r="AL135" s="128">
        <f t="shared" si="134"/>
        <v>2882.68</v>
      </c>
    </row>
    <row r="136" spans="2:38" s="189" customFormat="1" ht="16.5">
      <c r="B136" s="188" t="s">
        <v>794</v>
      </c>
      <c r="C136" s="124" t="s">
        <v>301</v>
      </c>
      <c r="D136" s="185" t="s">
        <v>795</v>
      </c>
      <c r="E136" s="168" t="s">
        <v>121</v>
      </c>
      <c r="F136" s="168" t="s">
        <v>796</v>
      </c>
      <c r="G136" s="128">
        <v>4030.87</v>
      </c>
      <c r="H136" s="128">
        <f t="shared" si="132"/>
        <v>403.08699999999999</v>
      </c>
      <c r="I136" s="128">
        <f t="shared" si="133"/>
        <v>3627.7829999999999</v>
      </c>
      <c r="J136" s="154">
        <v>0</v>
      </c>
      <c r="K136" s="154">
        <v>0</v>
      </c>
      <c r="L136" s="154">
        <v>0</v>
      </c>
      <c r="M136" s="154">
        <v>0</v>
      </c>
      <c r="N136" s="154">
        <v>0</v>
      </c>
      <c r="O136" s="154">
        <v>0</v>
      </c>
      <c r="P136" s="154">
        <v>0</v>
      </c>
      <c r="Q136" s="154">
        <v>0</v>
      </c>
      <c r="R136" s="154">
        <v>0</v>
      </c>
      <c r="S136" s="154">
        <v>0</v>
      </c>
      <c r="T136" s="154">
        <v>0</v>
      </c>
      <c r="U136" s="154">
        <v>0</v>
      </c>
      <c r="V136" s="154">
        <v>0</v>
      </c>
      <c r="W136" s="154">
        <v>0</v>
      </c>
      <c r="X136" s="154">
        <v>0</v>
      </c>
      <c r="Y136" s="154">
        <v>0</v>
      </c>
      <c r="Z136" s="154">
        <v>0</v>
      </c>
      <c r="AA136" s="128"/>
      <c r="AB136" s="128">
        <v>435.31</v>
      </c>
      <c r="AC136" s="128">
        <v>725.52</v>
      </c>
      <c r="AD136" s="128">
        <v>725.52</v>
      </c>
      <c r="AE136" s="128">
        <v>725.52</v>
      </c>
      <c r="AF136" s="128">
        <v>3339.38</v>
      </c>
      <c r="AG136" s="128">
        <v>288.98</v>
      </c>
      <c r="AH136" s="128"/>
      <c r="AI136" s="128"/>
      <c r="AJ136" s="128"/>
      <c r="AK136" s="128">
        <v>3627.78</v>
      </c>
      <c r="AL136" s="128">
        <f t="shared" si="134"/>
        <v>3627.78</v>
      </c>
    </row>
    <row r="137" spans="2:38" s="189" customFormat="1" ht="33">
      <c r="B137" s="138" t="s">
        <v>797</v>
      </c>
      <c r="C137" s="124" t="s">
        <v>691</v>
      </c>
      <c r="D137" s="187" t="s">
        <v>798</v>
      </c>
      <c r="E137" s="168" t="s">
        <v>604</v>
      </c>
      <c r="F137" s="168" t="s">
        <v>799</v>
      </c>
      <c r="G137" s="127">
        <v>1516</v>
      </c>
      <c r="H137" s="127">
        <f t="shared" si="132"/>
        <v>151.6</v>
      </c>
      <c r="I137" s="127">
        <f t="shared" si="133"/>
        <v>1364.4</v>
      </c>
      <c r="J137" s="154">
        <v>0</v>
      </c>
      <c r="K137" s="154">
        <v>0</v>
      </c>
      <c r="L137" s="154">
        <v>0</v>
      </c>
      <c r="M137" s="154">
        <v>0</v>
      </c>
      <c r="N137" s="154">
        <v>0</v>
      </c>
      <c r="O137" s="154">
        <v>0</v>
      </c>
      <c r="P137" s="154">
        <v>0</v>
      </c>
      <c r="Q137" s="154">
        <v>0</v>
      </c>
      <c r="R137" s="154">
        <v>0</v>
      </c>
      <c r="S137" s="127">
        <v>157.02000000000001</v>
      </c>
      <c r="T137" s="190">
        <v>272.91000000000003</v>
      </c>
      <c r="U137" s="190">
        <v>272.91000000000003</v>
      </c>
      <c r="V137" s="190">
        <v>272.91000000000003</v>
      </c>
      <c r="W137" s="190">
        <f t="shared" ref="W137:W151" si="135">O137+P137+Q137+R137+S137+T137+U137+V137</f>
        <v>975.75000000000023</v>
      </c>
      <c r="X137" s="154">
        <f t="shared" ref="X137:X151" si="136">ROUND((I137/5/365*31),2)</f>
        <v>23.18</v>
      </c>
      <c r="Y137" s="154">
        <f t="shared" ref="Y137:Y151" si="137">ROUND((I137/5/365*29),2)</f>
        <v>21.68</v>
      </c>
      <c r="Z137" s="154">
        <f t="shared" ref="Z137:Z151" si="138">ROUND((I137/5/365*31),2)</f>
        <v>23.18</v>
      </c>
      <c r="AA137" s="154">
        <f t="shared" ref="AA137:AA151" si="139">ROUND((I137/5/365*30),2)</f>
        <v>22.43</v>
      </c>
      <c r="AB137" s="154">
        <f t="shared" ref="AB137:AB151" si="140">ROUND((I137/5/365*31),2)</f>
        <v>23.18</v>
      </c>
      <c r="AC137" s="154">
        <f t="shared" ref="AC137:AC151" si="141">ROUND((I137/5/365*30),2)</f>
        <v>22.43</v>
      </c>
      <c r="AD137" s="154">
        <f t="shared" ref="AD137:AD151" si="142">ROUND((I137/5/365*31),2)</f>
        <v>23.18</v>
      </c>
      <c r="AE137" s="190">
        <f t="shared" ref="AE137:AE151" si="143">ROUND((I137/5/365*31),2)</f>
        <v>23.18</v>
      </c>
      <c r="AF137" s="128">
        <f t="shared" ref="AF137:AF151" si="144">ROUND((I137/5/365*30),2)</f>
        <v>22.43</v>
      </c>
      <c r="AG137" s="154">
        <f t="shared" ref="AG137:AG151" si="145">ROUND((I137/5/365*31),2)</f>
        <v>23.18</v>
      </c>
      <c r="AH137" s="154"/>
      <c r="AI137" s="154"/>
      <c r="AJ137" s="154"/>
      <c r="AK137" s="154">
        <v>1364.4</v>
      </c>
      <c r="AL137" s="128">
        <f t="shared" si="134"/>
        <v>1364.4</v>
      </c>
    </row>
    <row r="138" spans="2:38" s="189" customFormat="1" ht="33">
      <c r="B138" s="138" t="s">
        <v>797</v>
      </c>
      <c r="C138" s="124" t="s">
        <v>691</v>
      </c>
      <c r="D138" s="187" t="s">
        <v>800</v>
      </c>
      <c r="E138" s="168" t="s">
        <v>116</v>
      </c>
      <c r="F138" s="168" t="s">
        <v>801</v>
      </c>
      <c r="G138" s="127">
        <v>1516</v>
      </c>
      <c r="H138" s="127">
        <f t="shared" si="132"/>
        <v>151.6</v>
      </c>
      <c r="I138" s="127">
        <f t="shared" si="133"/>
        <v>1364.4</v>
      </c>
      <c r="J138" s="154">
        <v>0</v>
      </c>
      <c r="K138" s="154">
        <v>0</v>
      </c>
      <c r="L138" s="154">
        <v>0</v>
      </c>
      <c r="M138" s="154">
        <v>0</v>
      </c>
      <c r="N138" s="154">
        <v>0</v>
      </c>
      <c r="O138" s="154">
        <v>0</v>
      </c>
      <c r="P138" s="154">
        <v>0</v>
      </c>
      <c r="Q138" s="154">
        <v>0</v>
      </c>
      <c r="R138" s="154">
        <v>0</v>
      </c>
      <c r="S138" s="127">
        <v>157.02000000000001</v>
      </c>
      <c r="T138" s="127">
        <v>272.91000000000003</v>
      </c>
      <c r="U138" s="127">
        <v>272.91000000000003</v>
      </c>
      <c r="V138" s="127">
        <v>272.91000000000003</v>
      </c>
      <c r="W138" s="127">
        <f t="shared" si="135"/>
        <v>975.75000000000023</v>
      </c>
      <c r="X138" s="127">
        <f t="shared" si="136"/>
        <v>23.18</v>
      </c>
      <c r="Y138" s="127">
        <f t="shared" si="137"/>
        <v>21.68</v>
      </c>
      <c r="Z138" s="154">
        <f t="shared" si="138"/>
        <v>23.18</v>
      </c>
      <c r="AA138" s="154">
        <f t="shared" si="139"/>
        <v>22.43</v>
      </c>
      <c r="AB138" s="154">
        <f t="shared" si="140"/>
        <v>23.18</v>
      </c>
      <c r="AC138" s="154">
        <f t="shared" si="141"/>
        <v>22.43</v>
      </c>
      <c r="AD138" s="154">
        <f t="shared" si="142"/>
        <v>23.18</v>
      </c>
      <c r="AE138" s="154">
        <f t="shared" si="143"/>
        <v>23.18</v>
      </c>
      <c r="AF138" s="128">
        <f t="shared" si="144"/>
        <v>22.43</v>
      </c>
      <c r="AG138" s="154">
        <f t="shared" si="145"/>
        <v>23.18</v>
      </c>
      <c r="AH138" s="154"/>
      <c r="AI138" s="154"/>
      <c r="AJ138" s="154"/>
      <c r="AK138" s="154">
        <v>1364.4</v>
      </c>
      <c r="AL138" s="128">
        <f t="shared" si="134"/>
        <v>1364.4</v>
      </c>
    </row>
    <row r="139" spans="2:38" s="189" customFormat="1" ht="24.75">
      <c r="B139" s="138" t="s">
        <v>797</v>
      </c>
      <c r="C139" s="124" t="s">
        <v>691</v>
      </c>
      <c r="D139" s="187" t="s">
        <v>802</v>
      </c>
      <c r="E139" s="168" t="s">
        <v>148</v>
      </c>
      <c r="F139" s="168" t="s">
        <v>803</v>
      </c>
      <c r="G139" s="127">
        <v>1516</v>
      </c>
      <c r="H139" s="127">
        <f t="shared" si="132"/>
        <v>151.6</v>
      </c>
      <c r="I139" s="127">
        <f t="shared" si="133"/>
        <v>1364.4</v>
      </c>
      <c r="J139" s="154">
        <v>0</v>
      </c>
      <c r="K139" s="154">
        <v>0</v>
      </c>
      <c r="L139" s="154">
        <v>0</v>
      </c>
      <c r="M139" s="154">
        <v>0</v>
      </c>
      <c r="N139" s="154">
        <v>0</v>
      </c>
      <c r="O139" s="154">
        <v>0</v>
      </c>
      <c r="P139" s="154">
        <v>0</v>
      </c>
      <c r="Q139" s="154">
        <v>0</v>
      </c>
      <c r="R139" s="154">
        <v>0</v>
      </c>
      <c r="S139" s="127">
        <v>157.02000000000001</v>
      </c>
      <c r="T139" s="127">
        <v>272.91000000000003</v>
      </c>
      <c r="U139" s="127">
        <v>272.91000000000003</v>
      </c>
      <c r="V139" s="127">
        <v>272.91000000000003</v>
      </c>
      <c r="W139" s="127">
        <f t="shared" si="135"/>
        <v>975.75000000000023</v>
      </c>
      <c r="X139" s="127">
        <f t="shared" si="136"/>
        <v>23.18</v>
      </c>
      <c r="Y139" s="127">
        <f t="shared" si="137"/>
        <v>21.68</v>
      </c>
      <c r="Z139" s="154">
        <f t="shared" si="138"/>
        <v>23.18</v>
      </c>
      <c r="AA139" s="154">
        <f t="shared" si="139"/>
        <v>22.43</v>
      </c>
      <c r="AB139" s="154">
        <f t="shared" si="140"/>
        <v>23.18</v>
      </c>
      <c r="AC139" s="154">
        <f t="shared" si="141"/>
        <v>22.43</v>
      </c>
      <c r="AD139" s="154">
        <f t="shared" si="142"/>
        <v>23.18</v>
      </c>
      <c r="AE139" s="154">
        <f t="shared" si="143"/>
        <v>23.18</v>
      </c>
      <c r="AF139" s="128">
        <f t="shared" si="144"/>
        <v>22.43</v>
      </c>
      <c r="AG139" s="154">
        <f t="shared" si="145"/>
        <v>23.18</v>
      </c>
      <c r="AH139" s="154"/>
      <c r="AI139" s="154"/>
      <c r="AJ139" s="154"/>
      <c r="AK139" s="154">
        <v>1364.4</v>
      </c>
      <c r="AL139" s="128">
        <f t="shared" si="134"/>
        <v>1364.4</v>
      </c>
    </row>
    <row r="140" spans="2:38" s="189" customFormat="1" ht="24.75">
      <c r="B140" s="138" t="s">
        <v>797</v>
      </c>
      <c r="C140" s="124" t="s">
        <v>691</v>
      </c>
      <c r="D140" s="187" t="s">
        <v>804</v>
      </c>
      <c r="E140" s="168" t="s">
        <v>604</v>
      </c>
      <c r="F140" s="168" t="s">
        <v>805</v>
      </c>
      <c r="G140" s="127">
        <v>1516</v>
      </c>
      <c r="H140" s="127">
        <f t="shared" si="132"/>
        <v>151.6</v>
      </c>
      <c r="I140" s="127">
        <f t="shared" si="133"/>
        <v>1364.4</v>
      </c>
      <c r="J140" s="154">
        <v>0</v>
      </c>
      <c r="K140" s="154">
        <v>0</v>
      </c>
      <c r="L140" s="154">
        <v>0</v>
      </c>
      <c r="M140" s="154">
        <v>0</v>
      </c>
      <c r="N140" s="154">
        <v>0</v>
      </c>
      <c r="O140" s="154">
        <v>0</v>
      </c>
      <c r="P140" s="154">
        <v>0</v>
      </c>
      <c r="Q140" s="154">
        <v>0</v>
      </c>
      <c r="R140" s="154">
        <v>0</v>
      </c>
      <c r="S140" s="127">
        <v>157.02000000000001</v>
      </c>
      <c r="T140" s="127">
        <v>272.91000000000003</v>
      </c>
      <c r="U140" s="127">
        <v>272.91000000000003</v>
      </c>
      <c r="V140" s="127">
        <v>272.91000000000003</v>
      </c>
      <c r="W140" s="127">
        <f t="shared" si="135"/>
        <v>975.75000000000023</v>
      </c>
      <c r="X140" s="127">
        <f t="shared" si="136"/>
        <v>23.18</v>
      </c>
      <c r="Y140" s="127">
        <f t="shared" si="137"/>
        <v>21.68</v>
      </c>
      <c r="Z140" s="154">
        <f t="shared" si="138"/>
        <v>23.18</v>
      </c>
      <c r="AA140" s="154">
        <f t="shared" si="139"/>
        <v>22.43</v>
      </c>
      <c r="AB140" s="154">
        <f t="shared" si="140"/>
        <v>23.18</v>
      </c>
      <c r="AC140" s="154">
        <f t="shared" si="141"/>
        <v>22.43</v>
      </c>
      <c r="AD140" s="154">
        <f t="shared" si="142"/>
        <v>23.18</v>
      </c>
      <c r="AE140" s="154">
        <f t="shared" si="143"/>
        <v>23.18</v>
      </c>
      <c r="AF140" s="128">
        <f t="shared" si="144"/>
        <v>22.43</v>
      </c>
      <c r="AG140" s="154">
        <f t="shared" si="145"/>
        <v>23.18</v>
      </c>
      <c r="AH140" s="154"/>
      <c r="AI140" s="154"/>
      <c r="AJ140" s="154"/>
      <c r="AK140" s="154">
        <v>1364.4</v>
      </c>
      <c r="AL140" s="128">
        <f t="shared" si="134"/>
        <v>1364.4</v>
      </c>
    </row>
    <row r="141" spans="2:38" s="189" customFormat="1" ht="24.75">
      <c r="B141" s="138" t="s">
        <v>797</v>
      </c>
      <c r="C141" s="124" t="s">
        <v>691</v>
      </c>
      <c r="D141" s="185" t="s">
        <v>806</v>
      </c>
      <c r="E141" s="168" t="s">
        <v>136</v>
      </c>
      <c r="F141" s="168" t="s">
        <v>807</v>
      </c>
      <c r="G141" s="127">
        <v>1516</v>
      </c>
      <c r="H141" s="127">
        <f t="shared" si="132"/>
        <v>151.6</v>
      </c>
      <c r="I141" s="127">
        <f t="shared" si="133"/>
        <v>1364.4</v>
      </c>
      <c r="J141" s="154">
        <v>0</v>
      </c>
      <c r="K141" s="154">
        <v>0</v>
      </c>
      <c r="L141" s="154">
        <v>0</v>
      </c>
      <c r="M141" s="154">
        <v>0</v>
      </c>
      <c r="N141" s="154">
        <v>0</v>
      </c>
      <c r="O141" s="154">
        <v>0</v>
      </c>
      <c r="P141" s="154">
        <v>0</v>
      </c>
      <c r="Q141" s="154">
        <v>0</v>
      </c>
      <c r="R141" s="154">
        <v>0</v>
      </c>
      <c r="S141" s="127">
        <v>157.02000000000001</v>
      </c>
      <c r="T141" s="127">
        <v>272.91000000000003</v>
      </c>
      <c r="U141" s="127">
        <v>272.91000000000003</v>
      </c>
      <c r="V141" s="127">
        <v>272.91000000000003</v>
      </c>
      <c r="W141" s="127">
        <f t="shared" si="135"/>
        <v>975.75000000000023</v>
      </c>
      <c r="X141" s="127">
        <f t="shared" si="136"/>
        <v>23.18</v>
      </c>
      <c r="Y141" s="127">
        <f t="shared" si="137"/>
        <v>21.68</v>
      </c>
      <c r="Z141" s="154">
        <f t="shared" si="138"/>
        <v>23.18</v>
      </c>
      <c r="AA141" s="154">
        <f t="shared" si="139"/>
        <v>22.43</v>
      </c>
      <c r="AB141" s="154">
        <f t="shared" si="140"/>
        <v>23.18</v>
      </c>
      <c r="AC141" s="154">
        <f t="shared" si="141"/>
        <v>22.43</v>
      </c>
      <c r="AD141" s="154">
        <f t="shared" si="142"/>
        <v>23.18</v>
      </c>
      <c r="AE141" s="154">
        <f t="shared" si="143"/>
        <v>23.18</v>
      </c>
      <c r="AF141" s="128">
        <f t="shared" si="144"/>
        <v>22.43</v>
      </c>
      <c r="AG141" s="154">
        <f t="shared" si="145"/>
        <v>23.18</v>
      </c>
      <c r="AH141" s="154"/>
      <c r="AI141" s="154"/>
      <c r="AJ141" s="154"/>
      <c r="AK141" s="154">
        <v>1364.4</v>
      </c>
      <c r="AL141" s="128">
        <f t="shared" si="134"/>
        <v>1364.4</v>
      </c>
    </row>
    <row r="142" spans="2:38" s="189" customFormat="1" ht="24.75">
      <c r="B142" s="138" t="s">
        <v>797</v>
      </c>
      <c r="C142" s="124" t="s">
        <v>691</v>
      </c>
      <c r="D142" s="187" t="s">
        <v>808</v>
      </c>
      <c r="E142" s="126" t="s">
        <v>203</v>
      </c>
      <c r="F142" s="126" t="s">
        <v>809</v>
      </c>
      <c r="G142" s="127">
        <v>1516</v>
      </c>
      <c r="H142" s="127">
        <f t="shared" si="132"/>
        <v>151.6</v>
      </c>
      <c r="I142" s="127">
        <f t="shared" si="133"/>
        <v>1364.4</v>
      </c>
      <c r="J142" s="154">
        <v>0</v>
      </c>
      <c r="K142" s="154">
        <v>0</v>
      </c>
      <c r="L142" s="154">
        <v>0</v>
      </c>
      <c r="M142" s="154">
        <v>0</v>
      </c>
      <c r="N142" s="154">
        <v>0</v>
      </c>
      <c r="O142" s="154">
        <v>0</v>
      </c>
      <c r="P142" s="154">
        <v>0</v>
      </c>
      <c r="Q142" s="154">
        <v>0</v>
      </c>
      <c r="R142" s="154">
        <v>0</v>
      </c>
      <c r="S142" s="127">
        <v>157.02000000000001</v>
      </c>
      <c r="T142" s="127">
        <v>272.91000000000003</v>
      </c>
      <c r="U142" s="127">
        <v>272.91000000000003</v>
      </c>
      <c r="V142" s="127">
        <v>272.91000000000003</v>
      </c>
      <c r="W142" s="127">
        <f t="shared" si="135"/>
        <v>975.75000000000023</v>
      </c>
      <c r="X142" s="127">
        <f t="shared" si="136"/>
        <v>23.18</v>
      </c>
      <c r="Y142" s="127">
        <f t="shared" si="137"/>
        <v>21.68</v>
      </c>
      <c r="Z142" s="154">
        <f t="shared" si="138"/>
        <v>23.18</v>
      </c>
      <c r="AA142" s="154">
        <f t="shared" si="139"/>
        <v>22.43</v>
      </c>
      <c r="AB142" s="154">
        <f t="shared" si="140"/>
        <v>23.18</v>
      </c>
      <c r="AC142" s="154">
        <f t="shared" si="141"/>
        <v>22.43</v>
      </c>
      <c r="AD142" s="154">
        <f t="shared" si="142"/>
        <v>23.18</v>
      </c>
      <c r="AE142" s="154">
        <f t="shared" si="143"/>
        <v>23.18</v>
      </c>
      <c r="AF142" s="128">
        <f t="shared" si="144"/>
        <v>22.43</v>
      </c>
      <c r="AG142" s="154">
        <f t="shared" si="145"/>
        <v>23.18</v>
      </c>
      <c r="AH142" s="154"/>
      <c r="AI142" s="154"/>
      <c r="AJ142" s="154"/>
      <c r="AK142" s="154">
        <v>1364.4</v>
      </c>
      <c r="AL142" s="128">
        <f t="shared" si="134"/>
        <v>1364.4</v>
      </c>
    </row>
    <row r="143" spans="2:38" s="189" customFormat="1" ht="24.75">
      <c r="B143" s="138" t="s">
        <v>797</v>
      </c>
      <c r="C143" s="124" t="s">
        <v>691</v>
      </c>
      <c r="D143" s="185" t="s">
        <v>810</v>
      </c>
      <c r="E143" s="126" t="s">
        <v>322</v>
      </c>
      <c r="F143" s="126" t="s">
        <v>811</v>
      </c>
      <c r="G143" s="127">
        <v>1516</v>
      </c>
      <c r="H143" s="127">
        <f t="shared" si="132"/>
        <v>151.6</v>
      </c>
      <c r="I143" s="127">
        <f t="shared" si="133"/>
        <v>1364.4</v>
      </c>
      <c r="J143" s="154">
        <v>0</v>
      </c>
      <c r="K143" s="154">
        <v>0</v>
      </c>
      <c r="L143" s="154">
        <v>0</v>
      </c>
      <c r="M143" s="154">
        <v>0</v>
      </c>
      <c r="N143" s="154">
        <v>0</v>
      </c>
      <c r="O143" s="154">
        <v>0</v>
      </c>
      <c r="P143" s="154">
        <v>0</v>
      </c>
      <c r="Q143" s="154">
        <v>0</v>
      </c>
      <c r="R143" s="154">
        <v>0</v>
      </c>
      <c r="S143" s="127">
        <v>157.02000000000001</v>
      </c>
      <c r="T143" s="127">
        <v>272.91000000000003</v>
      </c>
      <c r="U143" s="127">
        <v>272.91000000000003</v>
      </c>
      <c r="V143" s="127">
        <v>272.91000000000003</v>
      </c>
      <c r="W143" s="127">
        <f t="shared" si="135"/>
        <v>975.75000000000023</v>
      </c>
      <c r="X143" s="127">
        <f t="shared" si="136"/>
        <v>23.18</v>
      </c>
      <c r="Y143" s="127">
        <f t="shared" si="137"/>
        <v>21.68</v>
      </c>
      <c r="Z143" s="154">
        <f t="shared" si="138"/>
        <v>23.18</v>
      </c>
      <c r="AA143" s="154">
        <f t="shared" si="139"/>
        <v>22.43</v>
      </c>
      <c r="AB143" s="154">
        <f t="shared" si="140"/>
        <v>23.18</v>
      </c>
      <c r="AC143" s="154">
        <f t="shared" si="141"/>
        <v>22.43</v>
      </c>
      <c r="AD143" s="154">
        <f t="shared" si="142"/>
        <v>23.18</v>
      </c>
      <c r="AE143" s="154">
        <f t="shared" si="143"/>
        <v>23.18</v>
      </c>
      <c r="AF143" s="128">
        <f t="shared" si="144"/>
        <v>22.43</v>
      </c>
      <c r="AG143" s="154">
        <f t="shared" si="145"/>
        <v>23.18</v>
      </c>
      <c r="AH143" s="154"/>
      <c r="AI143" s="154"/>
      <c r="AJ143" s="154"/>
      <c r="AK143" s="154">
        <v>1364.4</v>
      </c>
      <c r="AL143" s="128">
        <f t="shared" si="134"/>
        <v>1364.4</v>
      </c>
    </row>
    <row r="144" spans="2:38" s="189" customFormat="1" ht="24.75">
      <c r="B144" s="138" t="s">
        <v>797</v>
      </c>
      <c r="C144" s="124" t="s">
        <v>691</v>
      </c>
      <c r="D144" s="185" t="s">
        <v>812</v>
      </c>
      <c r="E144" s="126" t="s">
        <v>359</v>
      </c>
      <c r="F144" s="126" t="s">
        <v>813</v>
      </c>
      <c r="G144" s="127">
        <v>1516</v>
      </c>
      <c r="H144" s="127">
        <f t="shared" si="132"/>
        <v>151.6</v>
      </c>
      <c r="I144" s="127">
        <f t="shared" si="133"/>
        <v>1364.4</v>
      </c>
      <c r="J144" s="154">
        <v>0</v>
      </c>
      <c r="K144" s="154">
        <v>0</v>
      </c>
      <c r="L144" s="154">
        <v>0</v>
      </c>
      <c r="M144" s="154">
        <v>0</v>
      </c>
      <c r="N144" s="154">
        <v>0</v>
      </c>
      <c r="O144" s="154">
        <v>0</v>
      </c>
      <c r="P144" s="154">
        <v>0</v>
      </c>
      <c r="Q144" s="154">
        <v>0</v>
      </c>
      <c r="R144" s="154">
        <v>0</v>
      </c>
      <c r="S144" s="127">
        <v>157.02000000000001</v>
      </c>
      <c r="T144" s="127">
        <v>272.91000000000003</v>
      </c>
      <c r="U144" s="127">
        <v>272.91000000000003</v>
      </c>
      <c r="V144" s="127">
        <v>272.91000000000003</v>
      </c>
      <c r="W144" s="127">
        <f t="shared" si="135"/>
        <v>975.75000000000023</v>
      </c>
      <c r="X144" s="127">
        <f t="shared" si="136"/>
        <v>23.18</v>
      </c>
      <c r="Y144" s="127">
        <f t="shared" si="137"/>
        <v>21.68</v>
      </c>
      <c r="Z144" s="154">
        <f t="shared" si="138"/>
        <v>23.18</v>
      </c>
      <c r="AA144" s="154">
        <f t="shared" si="139"/>
        <v>22.43</v>
      </c>
      <c r="AB144" s="154">
        <f t="shared" si="140"/>
        <v>23.18</v>
      </c>
      <c r="AC144" s="154">
        <f t="shared" si="141"/>
        <v>22.43</v>
      </c>
      <c r="AD144" s="154">
        <f t="shared" si="142"/>
        <v>23.18</v>
      </c>
      <c r="AE144" s="154">
        <f t="shared" si="143"/>
        <v>23.18</v>
      </c>
      <c r="AF144" s="128">
        <f t="shared" si="144"/>
        <v>22.43</v>
      </c>
      <c r="AG144" s="154">
        <f t="shared" si="145"/>
        <v>23.18</v>
      </c>
      <c r="AH144" s="154"/>
      <c r="AI144" s="154"/>
      <c r="AJ144" s="154"/>
      <c r="AK144" s="154">
        <v>1364.4</v>
      </c>
      <c r="AL144" s="128">
        <f t="shared" si="134"/>
        <v>1364.4</v>
      </c>
    </row>
    <row r="145" spans="2:38" s="189" customFormat="1" ht="57.75">
      <c r="B145" s="138" t="s">
        <v>797</v>
      </c>
      <c r="C145" s="124" t="s">
        <v>691</v>
      </c>
      <c r="D145" s="187" t="s">
        <v>814</v>
      </c>
      <c r="E145" s="126" t="s">
        <v>133</v>
      </c>
      <c r="F145" s="126" t="s">
        <v>815</v>
      </c>
      <c r="G145" s="127">
        <v>1516</v>
      </c>
      <c r="H145" s="127">
        <f t="shared" si="132"/>
        <v>151.6</v>
      </c>
      <c r="I145" s="127">
        <f t="shared" si="133"/>
        <v>1364.4</v>
      </c>
      <c r="J145" s="154">
        <v>0</v>
      </c>
      <c r="K145" s="154">
        <v>0</v>
      </c>
      <c r="L145" s="154">
        <v>0</v>
      </c>
      <c r="M145" s="154">
        <v>0</v>
      </c>
      <c r="N145" s="154">
        <v>0</v>
      </c>
      <c r="O145" s="154">
        <v>0</v>
      </c>
      <c r="P145" s="154">
        <v>0</v>
      </c>
      <c r="Q145" s="154">
        <v>0</v>
      </c>
      <c r="R145" s="154">
        <v>0</v>
      </c>
      <c r="S145" s="127">
        <v>157.02000000000001</v>
      </c>
      <c r="T145" s="127">
        <v>272.91000000000003</v>
      </c>
      <c r="U145" s="127">
        <v>272.91000000000003</v>
      </c>
      <c r="V145" s="127">
        <v>272.91000000000003</v>
      </c>
      <c r="W145" s="127">
        <f t="shared" si="135"/>
        <v>975.75000000000023</v>
      </c>
      <c r="X145" s="127">
        <f t="shared" si="136"/>
        <v>23.18</v>
      </c>
      <c r="Y145" s="127">
        <f t="shared" si="137"/>
        <v>21.68</v>
      </c>
      <c r="Z145" s="154">
        <f t="shared" si="138"/>
        <v>23.18</v>
      </c>
      <c r="AA145" s="154">
        <f t="shared" si="139"/>
        <v>22.43</v>
      </c>
      <c r="AB145" s="154">
        <f t="shared" si="140"/>
        <v>23.18</v>
      </c>
      <c r="AC145" s="154">
        <f t="shared" si="141"/>
        <v>22.43</v>
      </c>
      <c r="AD145" s="154">
        <f t="shared" si="142"/>
        <v>23.18</v>
      </c>
      <c r="AE145" s="154">
        <f t="shared" si="143"/>
        <v>23.18</v>
      </c>
      <c r="AF145" s="128">
        <f t="shared" si="144"/>
        <v>22.43</v>
      </c>
      <c r="AG145" s="154">
        <f t="shared" si="145"/>
        <v>23.18</v>
      </c>
      <c r="AH145" s="154"/>
      <c r="AI145" s="154"/>
      <c r="AJ145" s="154"/>
      <c r="AK145" s="154">
        <v>1364.4</v>
      </c>
      <c r="AL145" s="128">
        <f t="shared" si="134"/>
        <v>1364.4</v>
      </c>
    </row>
    <row r="146" spans="2:38" s="189" customFormat="1" ht="24.75">
      <c r="B146" s="138" t="s">
        <v>797</v>
      </c>
      <c r="C146" s="124" t="s">
        <v>691</v>
      </c>
      <c r="D146" s="187" t="s">
        <v>816</v>
      </c>
      <c r="E146" s="126" t="s">
        <v>195</v>
      </c>
      <c r="F146" s="126" t="s">
        <v>817</v>
      </c>
      <c r="G146" s="127">
        <v>1516</v>
      </c>
      <c r="H146" s="127">
        <f t="shared" si="132"/>
        <v>151.6</v>
      </c>
      <c r="I146" s="127">
        <f t="shared" si="133"/>
        <v>1364.4</v>
      </c>
      <c r="J146" s="154">
        <v>0</v>
      </c>
      <c r="K146" s="154">
        <v>0</v>
      </c>
      <c r="L146" s="154">
        <v>0</v>
      </c>
      <c r="M146" s="154">
        <v>0</v>
      </c>
      <c r="N146" s="154">
        <v>0</v>
      </c>
      <c r="O146" s="154">
        <v>0</v>
      </c>
      <c r="P146" s="154">
        <v>0</v>
      </c>
      <c r="Q146" s="154">
        <v>0</v>
      </c>
      <c r="R146" s="154">
        <v>0</v>
      </c>
      <c r="S146" s="127">
        <v>157.02000000000001</v>
      </c>
      <c r="T146" s="127">
        <v>272.91000000000003</v>
      </c>
      <c r="U146" s="127">
        <v>272.91000000000003</v>
      </c>
      <c r="V146" s="127">
        <v>272.91000000000003</v>
      </c>
      <c r="W146" s="127">
        <f t="shared" si="135"/>
        <v>975.75000000000023</v>
      </c>
      <c r="X146" s="127">
        <f t="shared" si="136"/>
        <v>23.18</v>
      </c>
      <c r="Y146" s="127">
        <f t="shared" si="137"/>
        <v>21.68</v>
      </c>
      <c r="Z146" s="154">
        <f t="shared" si="138"/>
        <v>23.18</v>
      </c>
      <c r="AA146" s="154">
        <f t="shared" si="139"/>
        <v>22.43</v>
      </c>
      <c r="AB146" s="154">
        <f t="shared" si="140"/>
        <v>23.18</v>
      </c>
      <c r="AC146" s="154">
        <f t="shared" si="141"/>
        <v>22.43</v>
      </c>
      <c r="AD146" s="154">
        <f t="shared" si="142"/>
        <v>23.18</v>
      </c>
      <c r="AE146" s="154">
        <f t="shared" si="143"/>
        <v>23.18</v>
      </c>
      <c r="AF146" s="128">
        <f t="shared" si="144"/>
        <v>22.43</v>
      </c>
      <c r="AG146" s="154">
        <f t="shared" si="145"/>
        <v>23.18</v>
      </c>
      <c r="AH146" s="154"/>
      <c r="AI146" s="154"/>
      <c r="AJ146" s="154"/>
      <c r="AK146" s="154">
        <v>1364.4</v>
      </c>
      <c r="AL146" s="128">
        <f t="shared" si="134"/>
        <v>1364.4</v>
      </c>
    </row>
    <row r="147" spans="2:38" s="189" customFormat="1" ht="24.75">
      <c r="B147" s="138" t="s">
        <v>797</v>
      </c>
      <c r="C147" s="124" t="s">
        <v>691</v>
      </c>
      <c r="D147" s="187" t="s">
        <v>818</v>
      </c>
      <c r="E147" s="126" t="s">
        <v>819</v>
      </c>
      <c r="F147" s="126" t="s">
        <v>820</v>
      </c>
      <c r="G147" s="127">
        <v>1516</v>
      </c>
      <c r="H147" s="127">
        <f t="shared" si="132"/>
        <v>151.6</v>
      </c>
      <c r="I147" s="127">
        <f t="shared" si="133"/>
        <v>1364.4</v>
      </c>
      <c r="J147" s="154">
        <v>0</v>
      </c>
      <c r="K147" s="154">
        <v>0</v>
      </c>
      <c r="L147" s="154">
        <v>0</v>
      </c>
      <c r="M147" s="154">
        <v>0</v>
      </c>
      <c r="N147" s="154">
        <v>0</v>
      </c>
      <c r="O147" s="154">
        <v>0</v>
      </c>
      <c r="P147" s="154">
        <v>0</v>
      </c>
      <c r="Q147" s="154">
        <v>0</v>
      </c>
      <c r="R147" s="154">
        <v>0</v>
      </c>
      <c r="S147" s="127">
        <v>157.02000000000001</v>
      </c>
      <c r="T147" s="127">
        <v>272.91000000000003</v>
      </c>
      <c r="U147" s="127">
        <v>272.91000000000003</v>
      </c>
      <c r="V147" s="127">
        <v>272.91000000000003</v>
      </c>
      <c r="W147" s="127">
        <f t="shared" si="135"/>
        <v>975.75000000000023</v>
      </c>
      <c r="X147" s="127">
        <f t="shared" si="136"/>
        <v>23.18</v>
      </c>
      <c r="Y147" s="127">
        <f t="shared" si="137"/>
        <v>21.68</v>
      </c>
      <c r="Z147" s="154">
        <f t="shared" si="138"/>
        <v>23.18</v>
      </c>
      <c r="AA147" s="154">
        <f t="shared" si="139"/>
        <v>22.43</v>
      </c>
      <c r="AB147" s="154">
        <f t="shared" si="140"/>
        <v>23.18</v>
      </c>
      <c r="AC147" s="154">
        <f t="shared" si="141"/>
        <v>22.43</v>
      </c>
      <c r="AD147" s="154">
        <f t="shared" si="142"/>
        <v>23.18</v>
      </c>
      <c r="AE147" s="154">
        <f t="shared" si="143"/>
        <v>23.18</v>
      </c>
      <c r="AF147" s="128">
        <f t="shared" si="144"/>
        <v>22.43</v>
      </c>
      <c r="AG147" s="154">
        <f t="shared" si="145"/>
        <v>23.18</v>
      </c>
      <c r="AH147" s="154"/>
      <c r="AI147" s="154"/>
      <c r="AJ147" s="154"/>
      <c r="AK147" s="154">
        <v>1364.4</v>
      </c>
      <c r="AL147" s="128">
        <f t="shared" si="134"/>
        <v>1364.4</v>
      </c>
    </row>
    <row r="148" spans="2:38" s="189" customFormat="1" ht="24.75">
      <c r="B148" s="138" t="s">
        <v>797</v>
      </c>
      <c r="C148" s="124" t="s">
        <v>691</v>
      </c>
      <c r="D148" s="187" t="s">
        <v>821</v>
      </c>
      <c r="E148" s="126" t="s">
        <v>105</v>
      </c>
      <c r="F148" s="126" t="s">
        <v>822</v>
      </c>
      <c r="G148" s="127">
        <v>1516</v>
      </c>
      <c r="H148" s="127">
        <f t="shared" si="132"/>
        <v>151.6</v>
      </c>
      <c r="I148" s="127">
        <f t="shared" si="133"/>
        <v>1364.4</v>
      </c>
      <c r="J148" s="154">
        <v>0</v>
      </c>
      <c r="K148" s="154">
        <v>0</v>
      </c>
      <c r="L148" s="154">
        <v>0</v>
      </c>
      <c r="M148" s="154">
        <v>0</v>
      </c>
      <c r="N148" s="154">
        <v>0</v>
      </c>
      <c r="O148" s="154">
        <v>0</v>
      </c>
      <c r="P148" s="154">
        <v>0</v>
      </c>
      <c r="Q148" s="154">
        <v>0</v>
      </c>
      <c r="R148" s="154">
        <v>0</v>
      </c>
      <c r="S148" s="127">
        <v>157.02000000000001</v>
      </c>
      <c r="T148" s="127">
        <v>272.91000000000003</v>
      </c>
      <c r="U148" s="127">
        <v>272.91000000000003</v>
      </c>
      <c r="V148" s="127">
        <v>272.91000000000003</v>
      </c>
      <c r="W148" s="127">
        <f t="shared" si="135"/>
        <v>975.75000000000023</v>
      </c>
      <c r="X148" s="127">
        <f t="shared" si="136"/>
        <v>23.18</v>
      </c>
      <c r="Y148" s="127">
        <f t="shared" si="137"/>
        <v>21.68</v>
      </c>
      <c r="Z148" s="154">
        <f t="shared" si="138"/>
        <v>23.18</v>
      </c>
      <c r="AA148" s="154">
        <f t="shared" si="139"/>
        <v>22.43</v>
      </c>
      <c r="AB148" s="154">
        <f t="shared" si="140"/>
        <v>23.18</v>
      </c>
      <c r="AC148" s="154">
        <f t="shared" si="141"/>
        <v>22.43</v>
      </c>
      <c r="AD148" s="154">
        <f t="shared" si="142"/>
        <v>23.18</v>
      </c>
      <c r="AE148" s="154">
        <f t="shared" si="143"/>
        <v>23.18</v>
      </c>
      <c r="AF148" s="128">
        <f t="shared" si="144"/>
        <v>22.43</v>
      </c>
      <c r="AG148" s="154">
        <f t="shared" si="145"/>
        <v>23.18</v>
      </c>
      <c r="AH148" s="154"/>
      <c r="AI148" s="154"/>
      <c r="AJ148" s="154"/>
      <c r="AK148" s="154">
        <v>1364.4</v>
      </c>
      <c r="AL148" s="128">
        <f t="shared" si="134"/>
        <v>1364.4</v>
      </c>
    </row>
    <row r="149" spans="2:38" s="189" customFormat="1" ht="24.75">
      <c r="B149" s="138" t="s">
        <v>797</v>
      </c>
      <c r="C149" s="124" t="s">
        <v>691</v>
      </c>
      <c r="D149" s="187" t="s">
        <v>823</v>
      </c>
      <c r="E149" s="126" t="s">
        <v>604</v>
      </c>
      <c r="F149" s="126" t="s">
        <v>824</v>
      </c>
      <c r="G149" s="127">
        <v>1516</v>
      </c>
      <c r="H149" s="127">
        <f t="shared" si="132"/>
        <v>151.6</v>
      </c>
      <c r="I149" s="127">
        <f t="shared" si="133"/>
        <v>1364.4</v>
      </c>
      <c r="J149" s="154">
        <v>0</v>
      </c>
      <c r="K149" s="154">
        <v>0</v>
      </c>
      <c r="L149" s="154">
        <v>0</v>
      </c>
      <c r="M149" s="154">
        <v>0</v>
      </c>
      <c r="N149" s="154">
        <v>0</v>
      </c>
      <c r="O149" s="154">
        <v>0</v>
      </c>
      <c r="P149" s="154">
        <v>0</v>
      </c>
      <c r="Q149" s="154">
        <v>0</v>
      </c>
      <c r="R149" s="154">
        <v>0</v>
      </c>
      <c r="S149" s="127">
        <v>157.02000000000001</v>
      </c>
      <c r="T149" s="127">
        <v>272.91000000000003</v>
      </c>
      <c r="U149" s="127">
        <v>272.91000000000003</v>
      </c>
      <c r="V149" s="127">
        <v>272.91000000000003</v>
      </c>
      <c r="W149" s="127">
        <f t="shared" si="135"/>
        <v>975.75000000000023</v>
      </c>
      <c r="X149" s="127">
        <f t="shared" si="136"/>
        <v>23.18</v>
      </c>
      <c r="Y149" s="127">
        <f t="shared" si="137"/>
        <v>21.68</v>
      </c>
      <c r="Z149" s="154">
        <f t="shared" si="138"/>
        <v>23.18</v>
      </c>
      <c r="AA149" s="154">
        <f t="shared" si="139"/>
        <v>22.43</v>
      </c>
      <c r="AB149" s="154">
        <f t="shared" si="140"/>
        <v>23.18</v>
      </c>
      <c r="AC149" s="154">
        <f t="shared" si="141"/>
        <v>22.43</v>
      </c>
      <c r="AD149" s="154">
        <f t="shared" si="142"/>
        <v>23.18</v>
      </c>
      <c r="AE149" s="154">
        <f t="shared" si="143"/>
        <v>23.18</v>
      </c>
      <c r="AF149" s="128">
        <f t="shared" si="144"/>
        <v>22.43</v>
      </c>
      <c r="AG149" s="154">
        <f t="shared" si="145"/>
        <v>23.18</v>
      </c>
      <c r="AH149" s="154"/>
      <c r="AI149" s="154"/>
      <c r="AJ149" s="154"/>
      <c r="AK149" s="154">
        <v>1364.4</v>
      </c>
      <c r="AL149" s="128">
        <f t="shared" si="134"/>
        <v>1364.4</v>
      </c>
    </row>
    <row r="150" spans="2:38" s="189" customFormat="1" ht="24.75">
      <c r="B150" s="138" t="s">
        <v>797</v>
      </c>
      <c r="C150" s="124" t="s">
        <v>691</v>
      </c>
      <c r="D150" s="187" t="s">
        <v>825</v>
      </c>
      <c r="E150" s="126" t="s">
        <v>203</v>
      </c>
      <c r="F150" s="126" t="s">
        <v>826</v>
      </c>
      <c r="G150" s="127">
        <v>1516</v>
      </c>
      <c r="H150" s="127">
        <f t="shared" si="132"/>
        <v>151.6</v>
      </c>
      <c r="I150" s="127">
        <f t="shared" si="133"/>
        <v>1364.4</v>
      </c>
      <c r="J150" s="154">
        <v>0</v>
      </c>
      <c r="K150" s="154">
        <v>0</v>
      </c>
      <c r="L150" s="154">
        <v>0</v>
      </c>
      <c r="M150" s="154">
        <v>0</v>
      </c>
      <c r="N150" s="154">
        <v>0</v>
      </c>
      <c r="O150" s="154">
        <v>0</v>
      </c>
      <c r="P150" s="154">
        <v>0</v>
      </c>
      <c r="Q150" s="154">
        <v>0</v>
      </c>
      <c r="R150" s="154">
        <v>0</v>
      </c>
      <c r="S150" s="127">
        <v>157.02000000000001</v>
      </c>
      <c r="T150" s="127">
        <v>272.91000000000003</v>
      </c>
      <c r="U150" s="127">
        <v>272.91000000000003</v>
      </c>
      <c r="V150" s="127">
        <v>272.91000000000003</v>
      </c>
      <c r="W150" s="127">
        <f t="shared" si="135"/>
        <v>975.75000000000023</v>
      </c>
      <c r="X150" s="127">
        <f t="shared" si="136"/>
        <v>23.18</v>
      </c>
      <c r="Y150" s="127">
        <f t="shared" si="137"/>
        <v>21.68</v>
      </c>
      <c r="Z150" s="154">
        <f t="shared" si="138"/>
        <v>23.18</v>
      </c>
      <c r="AA150" s="154">
        <f t="shared" si="139"/>
        <v>22.43</v>
      </c>
      <c r="AB150" s="154">
        <f t="shared" si="140"/>
        <v>23.18</v>
      </c>
      <c r="AC150" s="154">
        <f t="shared" si="141"/>
        <v>22.43</v>
      </c>
      <c r="AD150" s="154">
        <f t="shared" si="142"/>
        <v>23.18</v>
      </c>
      <c r="AE150" s="154">
        <f t="shared" si="143"/>
        <v>23.18</v>
      </c>
      <c r="AF150" s="128">
        <f t="shared" si="144"/>
        <v>22.43</v>
      </c>
      <c r="AG150" s="154">
        <f t="shared" si="145"/>
        <v>23.18</v>
      </c>
      <c r="AH150" s="154"/>
      <c r="AI150" s="154"/>
      <c r="AJ150" s="154"/>
      <c r="AK150" s="154">
        <v>1364.4</v>
      </c>
      <c r="AL150" s="128">
        <f t="shared" si="134"/>
        <v>1364.4</v>
      </c>
    </row>
    <row r="151" spans="2:38" s="189" customFormat="1" ht="24.75">
      <c r="B151" s="138" t="s">
        <v>797</v>
      </c>
      <c r="C151" s="124" t="s">
        <v>691</v>
      </c>
      <c r="D151" s="187" t="s">
        <v>827</v>
      </c>
      <c r="E151" s="126" t="s">
        <v>828</v>
      </c>
      <c r="F151" s="126" t="s">
        <v>829</v>
      </c>
      <c r="G151" s="127">
        <v>1516</v>
      </c>
      <c r="H151" s="127">
        <f t="shared" si="132"/>
        <v>151.6</v>
      </c>
      <c r="I151" s="127">
        <f t="shared" si="133"/>
        <v>1364.4</v>
      </c>
      <c r="J151" s="154">
        <v>0</v>
      </c>
      <c r="K151" s="154">
        <v>0</v>
      </c>
      <c r="L151" s="154">
        <v>0</v>
      </c>
      <c r="M151" s="154">
        <v>0</v>
      </c>
      <c r="N151" s="154">
        <v>0</v>
      </c>
      <c r="O151" s="154">
        <v>0</v>
      </c>
      <c r="P151" s="154">
        <v>0</v>
      </c>
      <c r="Q151" s="154">
        <v>0</v>
      </c>
      <c r="R151" s="154">
        <v>0</v>
      </c>
      <c r="S151" s="127">
        <v>157.02000000000001</v>
      </c>
      <c r="T151" s="127">
        <v>272.91000000000003</v>
      </c>
      <c r="U151" s="127">
        <v>272.91000000000003</v>
      </c>
      <c r="V151" s="127">
        <v>272.91000000000003</v>
      </c>
      <c r="W151" s="127">
        <f t="shared" si="135"/>
        <v>975.75000000000023</v>
      </c>
      <c r="X151" s="127">
        <f t="shared" si="136"/>
        <v>23.18</v>
      </c>
      <c r="Y151" s="127">
        <f t="shared" si="137"/>
        <v>21.68</v>
      </c>
      <c r="Z151" s="154">
        <f t="shared" si="138"/>
        <v>23.18</v>
      </c>
      <c r="AA151" s="154">
        <f t="shared" si="139"/>
        <v>22.43</v>
      </c>
      <c r="AB151" s="154">
        <f t="shared" si="140"/>
        <v>23.18</v>
      </c>
      <c r="AC151" s="154">
        <f t="shared" si="141"/>
        <v>22.43</v>
      </c>
      <c r="AD151" s="154">
        <f t="shared" si="142"/>
        <v>23.18</v>
      </c>
      <c r="AE151" s="154">
        <f t="shared" si="143"/>
        <v>23.18</v>
      </c>
      <c r="AF151" s="128">
        <f t="shared" si="144"/>
        <v>22.43</v>
      </c>
      <c r="AG151" s="154">
        <f t="shared" si="145"/>
        <v>23.18</v>
      </c>
      <c r="AH151" s="154"/>
      <c r="AI151" s="154"/>
      <c r="AJ151" s="154"/>
      <c r="AK151" s="154">
        <v>1364.4</v>
      </c>
      <c r="AL151" s="128">
        <f t="shared" si="134"/>
        <v>1364.4</v>
      </c>
    </row>
    <row r="152" spans="2:38" s="189" customFormat="1" ht="16.5">
      <c r="B152" s="138" t="s">
        <v>830</v>
      </c>
      <c r="C152" s="124" t="s">
        <v>831</v>
      </c>
      <c r="D152" s="185" t="s">
        <v>832</v>
      </c>
      <c r="E152" s="126" t="s">
        <v>121</v>
      </c>
      <c r="F152" s="126" t="s">
        <v>721</v>
      </c>
      <c r="G152" s="127">
        <v>1238</v>
      </c>
      <c r="H152" s="127">
        <f t="shared" si="132"/>
        <v>123.80000000000001</v>
      </c>
      <c r="I152" s="154">
        <f t="shared" si="133"/>
        <v>1114.2</v>
      </c>
      <c r="J152" s="154"/>
      <c r="K152" s="154"/>
      <c r="L152" s="154"/>
      <c r="M152" s="154"/>
      <c r="N152" s="154"/>
      <c r="O152" s="154"/>
      <c r="P152" s="154"/>
      <c r="Q152" s="154"/>
      <c r="R152" s="154"/>
      <c r="S152" s="127"/>
      <c r="T152" s="127"/>
      <c r="U152" s="127"/>
      <c r="V152" s="127"/>
      <c r="W152" s="127"/>
      <c r="X152" s="127"/>
      <c r="Y152" s="127"/>
      <c r="Z152" s="154"/>
      <c r="AA152" s="154"/>
      <c r="AB152" s="154"/>
      <c r="AC152" s="154"/>
      <c r="AD152" s="154"/>
      <c r="AE152" s="154"/>
      <c r="AF152" s="128"/>
      <c r="AG152" s="154"/>
      <c r="AH152" s="154"/>
      <c r="AI152" s="154"/>
      <c r="AJ152" s="154"/>
      <c r="AK152" s="154">
        <v>1114.2</v>
      </c>
      <c r="AL152" s="128">
        <f t="shared" si="134"/>
        <v>1114.2</v>
      </c>
    </row>
    <row r="153" spans="2:38" s="189" customFormat="1" ht="24.75">
      <c r="B153" s="138" t="s">
        <v>833</v>
      </c>
      <c r="C153" s="124" t="s">
        <v>691</v>
      </c>
      <c r="D153" s="186" t="s">
        <v>834</v>
      </c>
      <c r="E153" s="126" t="s">
        <v>121</v>
      </c>
      <c r="F153" s="126" t="s">
        <v>835</v>
      </c>
      <c r="G153" s="127">
        <v>1843.39</v>
      </c>
      <c r="H153" s="127">
        <f t="shared" si="132"/>
        <v>184.33900000000003</v>
      </c>
      <c r="I153" s="128">
        <f>(G153*0.9)</f>
        <v>1659.0510000000002</v>
      </c>
      <c r="J153" s="154"/>
      <c r="K153" s="154"/>
      <c r="L153" s="154"/>
      <c r="M153" s="154"/>
      <c r="N153" s="154"/>
      <c r="O153" s="154"/>
      <c r="P153" s="154"/>
      <c r="Q153" s="154"/>
      <c r="R153" s="154"/>
      <c r="S153" s="127"/>
      <c r="T153" s="127"/>
      <c r="U153" s="127"/>
      <c r="V153" s="127"/>
      <c r="W153" s="127"/>
      <c r="X153" s="127"/>
      <c r="Y153" s="127"/>
      <c r="Z153" s="154"/>
      <c r="AA153" s="154"/>
      <c r="AB153" s="154"/>
      <c r="AC153" s="154"/>
      <c r="AD153" s="154"/>
      <c r="AE153" s="154"/>
      <c r="AF153" s="128"/>
      <c r="AG153" s="154"/>
      <c r="AH153" s="154"/>
      <c r="AI153" s="154"/>
      <c r="AJ153" s="154"/>
      <c r="AK153" s="154">
        <v>1659.05</v>
      </c>
      <c r="AL153" s="128">
        <f t="shared" si="134"/>
        <v>1659.05</v>
      </c>
    </row>
    <row r="154" spans="2:38" s="189" customFormat="1" ht="24.75">
      <c r="B154" s="138" t="s">
        <v>833</v>
      </c>
      <c r="C154" s="124" t="s">
        <v>691</v>
      </c>
      <c r="D154" s="186" t="s">
        <v>836</v>
      </c>
      <c r="E154" s="126" t="s">
        <v>121</v>
      </c>
      <c r="F154" s="126" t="s">
        <v>837</v>
      </c>
      <c r="G154" s="127">
        <v>1843.39</v>
      </c>
      <c r="H154" s="127">
        <f>(G154*0.1)</f>
        <v>184.33900000000003</v>
      </c>
      <c r="I154" s="128">
        <f t="shared" ref="I154:I196" si="146">(G154*0.9)</f>
        <v>1659.0510000000002</v>
      </c>
      <c r="J154" s="154"/>
      <c r="K154" s="154"/>
      <c r="L154" s="154"/>
      <c r="M154" s="154"/>
      <c r="N154" s="154"/>
      <c r="O154" s="154"/>
      <c r="P154" s="154"/>
      <c r="Q154" s="154"/>
      <c r="R154" s="154"/>
      <c r="S154" s="127"/>
      <c r="T154" s="127"/>
      <c r="U154" s="127"/>
      <c r="V154" s="127"/>
      <c r="W154" s="127"/>
      <c r="X154" s="127"/>
      <c r="Y154" s="127"/>
      <c r="Z154" s="154"/>
      <c r="AA154" s="154"/>
      <c r="AB154" s="154"/>
      <c r="AC154" s="154"/>
      <c r="AD154" s="154"/>
      <c r="AE154" s="154"/>
      <c r="AF154" s="128"/>
      <c r="AG154" s="154"/>
      <c r="AH154" s="154"/>
      <c r="AI154" s="154"/>
      <c r="AJ154" s="154"/>
      <c r="AK154" s="154">
        <v>1659.05</v>
      </c>
      <c r="AL154" s="128">
        <f t="shared" si="134"/>
        <v>1659.05</v>
      </c>
    </row>
    <row r="155" spans="2:38" s="189" customFormat="1" ht="33">
      <c r="B155" s="138" t="s">
        <v>496</v>
      </c>
      <c r="C155" s="124" t="s">
        <v>838</v>
      </c>
      <c r="D155" s="186" t="s">
        <v>839</v>
      </c>
      <c r="E155" s="126" t="s">
        <v>121</v>
      </c>
      <c r="F155" s="126" t="s">
        <v>840</v>
      </c>
      <c r="G155" s="127">
        <v>16981.810000000001</v>
      </c>
      <c r="H155" s="127">
        <f>(G155*0.1)</f>
        <v>1698.1810000000003</v>
      </c>
      <c r="I155" s="128">
        <f t="shared" si="146"/>
        <v>15283.629000000001</v>
      </c>
      <c r="J155" s="154"/>
      <c r="K155" s="154"/>
      <c r="L155" s="154"/>
      <c r="M155" s="154"/>
      <c r="N155" s="154"/>
      <c r="O155" s="154"/>
      <c r="P155" s="154"/>
      <c r="Q155" s="154"/>
      <c r="R155" s="154"/>
      <c r="S155" s="127"/>
      <c r="T155" s="127"/>
      <c r="U155" s="127"/>
      <c r="V155" s="127"/>
      <c r="W155" s="127"/>
      <c r="X155" s="127"/>
      <c r="Y155" s="127"/>
      <c r="Z155" s="154"/>
      <c r="AA155" s="154"/>
      <c r="AB155" s="154"/>
      <c r="AC155" s="127">
        <v>820.71</v>
      </c>
      <c r="AD155" s="127">
        <v>3056.72</v>
      </c>
      <c r="AE155" s="127">
        <v>3056.72</v>
      </c>
      <c r="AF155" s="128">
        <v>3065.09</v>
      </c>
      <c r="AG155" s="127">
        <v>3056.72</v>
      </c>
      <c r="AH155" s="127">
        <v>2227.67</v>
      </c>
      <c r="AI155" s="127"/>
      <c r="AJ155" s="127"/>
      <c r="AK155" s="128">
        <f>SUM(AC155:AH155)</f>
        <v>15283.63</v>
      </c>
      <c r="AL155" s="154">
        <f>SUM(AK155)</f>
        <v>15283.63</v>
      </c>
    </row>
    <row r="156" spans="2:38" s="189" customFormat="1" ht="16.5">
      <c r="B156" s="138" t="s">
        <v>841</v>
      </c>
      <c r="C156" s="124" t="s">
        <v>842</v>
      </c>
      <c r="D156" s="186" t="s">
        <v>843</v>
      </c>
      <c r="E156" s="126" t="s">
        <v>121</v>
      </c>
      <c r="F156" s="126" t="s">
        <v>844</v>
      </c>
      <c r="G156" s="127">
        <v>3975</v>
      </c>
      <c r="H156" s="127">
        <f t="shared" ref="H156:H196" si="147">(G156*0.1)</f>
        <v>397.5</v>
      </c>
      <c r="I156" s="128">
        <f t="shared" si="146"/>
        <v>3577.5</v>
      </c>
      <c r="J156" s="154"/>
      <c r="K156" s="154"/>
      <c r="L156" s="154"/>
      <c r="M156" s="154"/>
      <c r="N156" s="154"/>
      <c r="O156" s="154"/>
      <c r="P156" s="154"/>
      <c r="Q156" s="154"/>
      <c r="R156" s="154"/>
      <c r="S156" s="127"/>
      <c r="T156" s="127"/>
      <c r="U156" s="127"/>
      <c r="V156" s="127"/>
      <c r="W156" s="127"/>
      <c r="X156" s="127"/>
      <c r="Y156" s="127"/>
      <c r="Z156" s="154"/>
      <c r="AA156" s="154"/>
      <c r="AB156" s="154"/>
      <c r="AC156" s="127">
        <v>180.35</v>
      </c>
      <c r="AD156" s="127">
        <v>715.52</v>
      </c>
      <c r="AE156" s="127">
        <v>715.52</v>
      </c>
      <c r="AF156" s="128">
        <v>717.48</v>
      </c>
      <c r="AG156" s="127">
        <v>715.52</v>
      </c>
      <c r="AH156" s="127">
        <v>533.11</v>
      </c>
      <c r="AI156" s="127"/>
      <c r="AJ156" s="127"/>
      <c r="AK156" s="128">
        <f>SUM(AC156:AH156)</f>
        <v>3577.5</v>
      </c>
      <c r="AL156" s="154">
        <f>SUM(AK156)</f>
        <v>3577.5</v>
      </c>
    </row>
    <row r="157" spans="2:38" s="189" customFormat="1" ht="24.75">
      <c r="B157" s="138" t="s">
        <v>503</v>
      </c>
      <c r="C157" s="124" t="s">
        <v>691</v>
      </c>
      <c r="D157" s="186" t="s">
        <v>845</v>
      </c>
      <c r="E157" s="126" t="s">
        <v>614</v>
      </c>
      <c r="F157" s="126" t="s">
        <v>846</v>
      </c>
      <c r="G157" s="127">
        <v>1725.4</v>
      </c>
      <c r="H157" s="127">
        <f t="shared" si="147"/>
        <v>172.54000000000002</v>
      </c>
      <c r="I157" s="128">
        <f t="shared" si="146"/>
        <v>1552.8600000000001</v>
      </c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>
        <v>307.19</v>
      </c>
      <c r="V157" s="127">
        <v>310.60000000000002</v>
      </c>
      <c r="W157" s="127">
        <f t="shared" ref="W157:W167" si="148">O157+P157+Q157+R157+S157+T157+U157+V157</f>
        <v>617.79</v>
      </c>
      <c r="X157" s="127">
        <f t="shared" ref="X157:X167" si="149">ROUND((I157/5/365*31),2)</f>
        <v>26.38</v>
      </c>
      <c r="Y157" s="127">
        <f t="shared" ref="Y157:Y167" si="150">ROUND((I157/5/365*29),2)</f>
        <v>24.68</v>
      </c>
      <c r="Z157" s="154">
        <f t="shared" ref="Z157:Z167" si="151">ROUND((I157/5/365*31),2)</f>
        <v>26.38</v>
      </c>
      <c r="AA157" s="154">
        <f t="shared" ref="AA157:AA167" si="152">ROUND((I157/5/365*30),2)</f>
        <v>25.53</v>
      </c>
      <c r="AB157" s="154">
        <f t="shared" ref="AB157:AB167" si="153">ROUND((I157/5/365*31),2)</f>
        <v>26.38</v>
      </c>
      <c r="AC157" s="154">
        <f t="shared" ref="AC157:AC167" si="154">ROUND((I157/5/365*30),2)</f>
        <v>25.53</v>
      </c>
      <c r="AD157" s="154">
        <f t="shared" ref="AD157:AD167" si="155">ROUND((I157/5/365*31),2)</f>
        <v>26.38</v>
      </c>
      <c r="AE157" s="154">
        <f t="shared" ref="AE157:AE167" si="156">ROUND((I157/5/365*31),2)</f>
        <v>26.38</v>
      </c>
      <c r="AF157" s="128">
        <f t="shared" ref="AF157:AF167" si="157">ROUND((I157/5/365*30),2)</f>
        <v>25.53</v>
      </c>
      <c r="AG157" s="154">
        <f t="shared" ref="AG157:AG167" si="158">ROUND((I157/5/365*31),2)</f>
        <v>26.38</v>
      </c>
      <c r="AH157" s="154">
        <f t="shared" ref="AH157:AH167" si="159">ROUND((I157/5/365*30),2)</f>
        <v>25.53</v>
      </c>
      <c r="AI157" s="154"/>
      <c r="AJ157" s="154"/>
      <c r="AK157" s="128">
        <v>1552.86</v>
      </c>
      <c r="AL157" s="128">
        <v>1552.86</v>
      </c>
    </row>
    <row r="158" spans="2:38" s="189" customFormat="1" ht="24.75">
      <c r="B158" s="138" t="s">
        <v>503</v>
      </c>
      <c r="C158" s="124" t="s">
        <v>691</v>
      </c>
      <c r="D158" s="186" t="s">
        <v>847</v>
      </c>
      <c r="E158" s="126" t="s">
        <v>203</v>
      </c>
      <c r="F158" s="126" t="s">
        <v>848</v>
      </c>
      <c r="G158" s="127">
        <v>1725.4</v>
      </c>
      <c r="H158" s="127">
        <f t="shared" si="147"/>
        <v>172.54000000000002</v>
      </c>
      <c r="I158" s="128">
        <f t="shared" si="146"/>
        <v>1552.8600000000001</v>
      </c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>
        <v>307.19</v>
      </c>
      <c r="V158" s="127">
        <v>310.60000000000002</v>
      </c>
      <c r="W158" s="127">
        <f t="shared" si="148"/>
        <v>617.79</v>
      </c>
      <c r="X158" s="127">
        <f t="shared" si="149"/>
        <v>26.38</v>
      </c>
      <c r="Y158" s="127">
        <f t="shared" si="150"/>
        <v>24.68</v>
      </c>
      <c r="Z158" s="154">
        <f t="shared" si="151"/>
        <v>26.38</v>
      </c>
      <c r="AA158" s="154">
        <f t="shared" si="152"/>
        <v>25.53</v>
      </c>
      <c r="AB158" s="154">
        <f t="shared" si="153"/>
        <v>26.38</v>
      </c>
      <c r="AC158" s="154">
        <f t="shared" si="154"/>
        <v>25.53</v>
      </c>
      <c r="AD158" s="154">
        <f t="shared" si="155"/>
        <v>26.38</v>
      </c>
      <c r="AE158" s="154">
        <f t="shared" si="156"/>
        <v>26.38</v>
      </c>
      <c r="AF158" s="128">
        <f t="shared" si="157"/>
        <v>25.53</v>
      </c>
      <c r="AG158" s="154">
        <f t="shared" si="158"/>
        <v>26.38</v>
      </c>
      <c r="AH158" s="154">
        <f t="shared" si="159"/>
        <v>25.53</v>
      </c>
      <c r="AI158" s="154"/>
      <c r="AJ158" s="154"/>
      <c r="AK158" s="128">
        <v>1552.86</v>
      </c>
      <c r="AL158" s="128">
        <v>1552.86</v>
      </c>
    </row>
    <row r="159" spans="2:38" s="189" customFormat="1" ht="24.75">
      <c r="B159" s="138" t="s">
        <v>503</v>
      </c>
      <c r="C159" s="124" t="s">
        <v>691</v>
      </c>
      <c r="D159" s="186" t="s">
        <v>849</v>
      </c>
      <c r="E159" s="126" t="s">
        <v>519</v>
      </c>
      <c r="F159" s="126" t="s">
        <v>850</v>
      </c>
      <c r="G159" s="127">
        <v>1725.4</v>
      </c>
      <c r="H159" s="127">
        <f t="shared" si="147"/>
        <v>172.54000000000002</v>
      </c>
      <c r="I159" s="128">
        <f t="shared" si="146"/>
        <v>1552.8600000000001</v>
      </c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>
        <v>307.19</v>
      </c>
      <c r="V159" s="127">
        <v>310.60000000000002</v>
      </c>
      <c r="W159" s="127">
        <f t="shared" si="148"/>
        <v>617.79</v>
      </c>
      <c r="X159" s="127">
        <f t="shared" si="149"/>
        <v>26.38</v>
      </c>
      <c r="Y159" s="127">
        <f t="shared" si="150"/>
        <v>24.68</v>
      </c>
      <c r="Z159" s="154">
        <f t="shared" si="151"/>
        <v>26.38</v>
      </c>
      <c r="AA159" s="154">
        <f t="shared" si="152"/>
        <v>25.53</v>
      </c>
      <c r="AB159" s="154">
        <f t="shared" si="153"/>
        <v>26.38</v>
      </c>
      <c r="AC159" s="154">
        <f t="shared" si="154"/>
        <v>25.53</v>
      </c>
      <c r="AD159" s="154">
        <f t="shared" si="155"/>
        <v>26.38</v>
      </c>
      <c r="AE159" s="154">
        <f t="shared" si="156"/>
        <v>26.38</v>
      </c>
      <c r="AF159" s="128">
        <f t="shared" si="157"/>
        <v>25.53</v>
      </c>
      <c r="AG159" s="154">
        <f t="shared" si="158"/>
        <v>26.38</v>
      </c>
      <c r="AH159" s="154">
        <f t="shared" si="159"/>
        <v>25.53</v>
      </c>
      <c r="AI159" s="154"/>
      <c r="AJ159" s="154"/>
      <c r="AK159" s="128">
        <v>1552.86</v>
      </c>
      <c r="AL159" s="128">
        <v>1552.86</v>
      </c>
    </row>
    <row r="160" spans="2:38" s="189" customFormat="1" ht="24.75">
      <c r="B160" s="138" t="s">
        <v>503</v>
      </c>
      <c r="C160" s="124" t="s">
        <v>691</v>
      </c>
      <c r="D160" s="186" t="s">
        <v>851</v>
      </c>
      <c r="E160" s="126" t="s">
        <v>195</v>
      </c>
      <c r="F160" s="126" t="s">
        <v>852</v>
      </c>
      <c r="G160" s="127">
        <v>1725.4</v>
      </c>
      <c r="H160" s="127">
        <f t="shared" si="147"/>
        <v>172.54000000000002</v>
      </c>
      <c r="I160" s="128">
        <f t="shared" si="146"/>
        <v>1552.8600000000001</v>
      </c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>
        <v>307.19</v>
      </c>
      <c r="V160" s="127">
        <v>310.60000000000002</v>
      </c>
      <c r="W160" s="127">
        <f t="shared" si="148"/>
        <v>617.79</v>
      </c>
      <c r="X160" s="127">
        <f t="shared" si="149"/>
        <v>26.38</v>
      </c>
      <c r="Y160" s="127">
        <f t="shared" si="150"/>
        <v>24.68</v>
      </c>
      <c r="Z160" s="154">
        <f t="shared" si="151"/>
        <v>26.38</v>
      </c>
      <c r="AA160" s="154">
        <f t="shared" si="152"/>
        <v>25.53</v>
      </c>
      <c r="AB160" s="154">
        <f t="shared" si="153"/>
        <v>26.38</v>
      </c>
      <c r="AC160" s="154">
        <f t="shared" si="154"/>
        <v>25.53</v>
      </c>
      <c r="AD160" s="154">
        <f t="shared" si="155"/>
        <v>26.38</v>
      </c>
      <c r="AE160" s="154">
        <f t="shared" si="156"/>
        <v>26.38</v>
      </c>
      <c r="AF160" s="128">
        <f t="shared" si="157"/>
        <v>25.53</v>
      </c>
      <c r="AG160" s="154">
        <f t="shared" si="158"/>
        <v>26.38</v>
      </c>
      <c r="AH160" s="154">
        <f t="shared" si="159"/>
        <v>25.53</v>
      </c>
      <c r="AI160" s="154"/>
      <c r="AJ160" s="154"/>
      <c r="AK160" s="128">
        <v>1552.86</v>
      </c>
      <c r="AL160" s="128">
        <v>1552.86</v>
      </c>
    </row>
    <row r="161" spans="2:38" s="189" customFormat="1" ht="24.75">
      <c r="B161" s="138" t="s">
        <v>503</v>
      </c>
      <c r="C161" s="124" t="s">
        <v>691</v>
      </c>
      <c r="D161" s="186" t="s">
        <v>853</v>
      </c>
      <c r="E161" s="126" t="s">
        <v>121</v>
      </c>
      <c r="F161" s="126" t="s">
        <v>854</v>
      </c>
      <c r="G161" s="127">
        <v>1725.4</v>
      </c>
      <c r="H161" s="127">
        <f t="shared" si="147"/>
        <v>172.54000000000002</v>
      </c>
      <c r="I161" s="128">
        <f t="shared" si="146"/>
        <v>1552.8600000000001</v>
      </c>
      <c r="J161" s="127"/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>
        <v>307.19</v>
      </c>
      <c r="V161" s="127">
        <v>310.60000000000002</v>
      </c>
      <c r="W161" s="127">
        <f t="shared" si="148"/>
        <v>617.79</v>
      </c>
      <c r="X161" s="127">
        <f t="shared" si="149"/>
        <v>26.38</v>
      </c>
      <c r="Y161" s="127">
        <f t="shared" si="150"/>
        <v>24.68</v>
      </c>
      <c r="Z161" s="154">
        <f t="shared" si="151"/>
        <v>26.38</v>
      </c>
      <c r="AA161" s="154">
        <f t="shared" si="152"/>
        <v>25.53</v>
      </c>
      <c r="AB161" s="154">
        <f t="shared" si="153"/>
        <v>26.38</v>
      </c>
      <c r="AC161" s="154">
        <f t="shared" si="154"/>
        <v>25.53</v>
      </c>
      <c r="AD161" s="154">
        <f t="shared" si="155"/>
        <v>26.38</v>
      </c>
      <c r="AE161" s="154">
        <f t="shared" si="156"/>
        <v>26.38</v>
      </c>
      <c r="AF161" s="128">
        <f t="shared" si="157"/>
        <v>25.53</v>
      </c>
      <c r="AG161" s="154">
        <f t="shared" si="158"/>
        <v>26.38</v>
      </c>
      <c r="AH161" s="154">
        <f t="shared" si="159"/>
        <v>25.53</v>
      </c>
      <c r="AI161" s="154"/>
      <c r="AJ161" s="154"/>
      <c r="AK161" s="128">
        <v>1552.86</v>
      </c>
      <c r="AL161" s="128">
        <v>1552.86</v>
      </c>
    </row>
    <row r="162" spans="2:38" s="189" customFormat="1" ht="9">
      <c r="B162" s="138" t="s">
        <v>503</v>
      </c>
      <c r="C162" s="124" t="s">
        <v>855</v>
      </c>
      <c r="D162" s="186" t="s">
        <v>856</v>
      </c>
      <c r="E162" s="126" t="s">
        <v>175</v>
      </c>
      <c r="F162" s="126" t="s">
        <v>857</v>
      </c>
      <c r="G162" s="127">
        <v>782</v>
      </c>
      <c r="H162" s="127">
        <f t="shared" si="147"/>
        <v>78.2</v>
      </c>
      <c r="I162" s="128">
        <f t="shared" si="146"/>
        <v>703.80000000000007</v>
      </c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>
        <v>139.19</v>
      </c>
      <c r="V162" s="127">
        <v>140.72999999999999</v>
      </c>
      <c r="W162" s="127">
        <f t="shared" si="148"/>
        <v>279.91999999999996</v>
      </c>
      <c r="X162" s="127">
        <f t="shared" si="149"/>
        <v>11.95</v>
      </c>
      <c r="Y162" s="127">
        <f t="shared" si="150"/>
        <v>11.18</v>
      </c>
      <c r="Z162" s="154">
        <f t="shared" si="151"/>
        <v>11.95</v>
      </c>
      <c r="AA162" s="154">
        <f t="shared" si="152"/>
        <v>11.57</v>
      </c>
      <c r="AB162" s="154">
        <f t="shared" si="153"/>
        <v>11.95</v>
      </c>
      <c r="AC162" s="154">
        <f t="shared" si="154"/>
        <v>11.57</v>
      </c>
      <c r="AD162" s="154">
        <f t="shared" si="155"/>
        <v>11.95</v>
      </c>
      <c r="AE162" s="154">
        <f t="shared" si="156"/>
        <v>11.95</v>
      </c>
      <c r="AF162" s="128">
        <f t="shared" si="157"/>
        <v>11.57</v>
      </c>
      <c r="AG162" s="154">
        <f t="shared" si="158"/>
        <v>11.95</v>
      </c>
      <c r="AH162" s="154">
        <f t="shared" si="159"/>
        <v>11.57</v>
      </c>
      <c r="AI162" s="154"/>
      <c r="AJ162" s="154"/>
      <c r="AK162" s="154">
        <v>703.8</v>
      </c>
      <c r="AL162" s="154">
        <v>703.8</v>
      </c>
    </row>
    <row r="163" spans="2:38" s="189" customFormat="1" ht="9">
      <c r="B163" s="138" t="s">
        <v>503</v>
      </c>
      <c r="C163" s="124" t="s">
        <v>858</v>
      </c>
      <c r="D163" s="186" t="s">
        <v>859</v>
      </c>
      <c r="E163" s="126" t="s">
        <v>175</v>
      </c>
      <c r="F163" s="126" t="s">
        <v>860</v>
      </c>
      <c r="G163" s="127">
        <v>782</v>
      </c>
      <c r="H163" s="127">
        <f t="shared" si="147"/>
        <v>78.2</v>
      </c>
      <c r="I163" s="128">
        <f t="shared" si="146"/>
        <v>703.80000000000007</v>
      </c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>
        <v>139.19</v>
      </c>
      <c r="V163" s="127">
        <v>140.72999999999999</v>
      </c>
      <c r="W163" s="127">
        <f t="shared" si="148"/>
        <v>279.91999999999996</v>
      </c>
      <c r="X163" s="127">
        <f t="shared" si="149"/>
        <v>11.95</v>
      </c>
      <c r="Y163" s="127">
        <f t="shared" si="150"/>
        <v>11.18</v>
      </c>
      <c r="Z163" s="154">
        <f t="shared" si="151"/>
        <v>11.95</v>
      </c>
      <c r="AA163" s="154">
        <f t="shared" si="152"/>
        <v>11.57</v>
      </c>
      <c r="AB163" s="154">
        <f t="shared" si="153"/>
        <v>11.95</v>
      </c>
      <c r="AC163" s="154">
        <f t="shared" si="154"/>
        <v>11.57</v>
      </c>
      <c r="AD163" s="154">
        <f t="shared" si="155"/>
        <v>11.95</v>
      </c>
      <c r="AE163" s="154">
        <f t="shared" si="156"/>
        <v>11.95</v>
      </c>
      <c r="AF163" s="128">
        <f t="shared" si="157"/>
        <v>11.57</v>
      </c>
      <c r="AG163" s="154">
        <f t="shared" si="158"/>
        <v>11.95</v>
      </c>
      <c r="AH163" s="154">
        <f t="shared" si="159"/>
        <v>11.57</v>
      </c>
      <c r="AI163" s="154"/>
      <c r="AJ163" s="154"/>
      <c r="AK163" s="154">
        <v>703.8</v>
      </c>
      <c r="AL163" s="154">
        <v>703.8</v>
      </c>
    </row>
    <row r="164" spans="2:38" s="189" customFormat="1" ht="9">
      <c r="B164" s="138" t="s">
        <v>503</v>
      </c>
      <c r="C164" s="124" t="s">
        <v>858</v>
      </c>
      <c r="D164" s="186" t="s">
        <v>861</v>
      </c>
      <c r="E164" s="126" t="s">
        <v>159</v>
      </c>
      <c r="F164" s="126" t="s">
        <v>862</v>
      </c>
      <c r="G164" s="127">
        <v>782</v>
      </c>
      <c r="H164" s="127">
        <f t="shared" si="147"/>
        <v>78.2</v>
      </c>
      <c r="I164" s="128">
        <f t="shared" si="146"/>
        <v>703.80000000000007</v>
      </c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>
        <v>139.19</v>
      </c>
      <c r="V164" s="127">
        <v>140.72999999999999</v>
      </c>
      <c r="W164" s="127">
        <f t="shared" si="148"/>
        <v>279.91999999999996</v>
      </c>
      <c r="X164" s="127">
        <f t="shared" si="149"/>
        <v>11.95</v>
      </c>
      <c r="Y164" s="127">
        <f t="shared" si="150"/>
        <v>11.18</v>
      </c>
      <c r="Z164" s="154">
        <f t="shared" si="151"/>
        <v>11.95</v>
      </c>
      <c r="AA164" s="154">
        <f t="shared" si="152"/>
        <v>11.57</v>
      </c>
      <c r="AB164" s="154">
        <f t="shared" si="153"/>
        <v>11.95</v>
      </c>
      <c r="AC164" s="154">
        <f t="shared" si="154"/>
        <v>11.57</v>
      </c>
      <c r="AD164" s="154">
        <f t="shared" si="155"/>
        <v>11.95</v>
      </c>
      <c r="AE164" s="154">
        <f t="shared" si="156"/>
        <v>11.95</v>
      </c>
      <c r="AF164" s="128">
        <f t="shared" si="157"/>
        <v>11.57</v>
      </c>
      <c r="AG164" s="154">
        <f t="shared" si="158"/>
        <v>11.95</v>
      </c>
      <c r="AH164" s="154">
        <f t="shared" si="159"/>
        <v>11.57</v>
      </c>
      <c r="AI164" s="154"/>
      <c r="AJ164" s="154"/>
      <c r="AK164" s="154">
        <v>703.8</v>
      </c>
      <c r="AL164" s="154">
        <v>703.8</v>
      </c>
    </row>
    <row r="165" spans="2:38" s="189" customFormat="1" ht="9">
      <c r="B165" s="138" t="s">
        <v>503</v>
      </c>
      <c r="C165" s="124" t="s">
        <v>858</v>
      </c>
      <c r="D165" s="186" t="s">
        <v>863</v>
      </c>
      <c r="E165" s="126" t="s">
        <v>195</v>
      </c>
      <c r="F165" s="126" t="s">
        <v>864</v>
      </c>
      <c r="G165" s="127">
        <v>782</v>
      </c>
      <c r="H165" s="127">
        <f t="shared" si="147"/>
        <v>78.2</v>
      </c>
      <c r="I165" s="128">
        <f t="shared" si="146"/>
        <v>703.80000000000007</v>
      </c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>
        <v>139.19</v>
      </c>
      <c r="V165" s="127">
        <v>140.72999999999999</v>
      </c>
      <c r="W165" s="127">
        <f t="shared" si="148"/>
        <v>279.91999999999996</v>
      </c>
      <c r="X165" s="127">
        <f t="shared" si="149"/>
        <v>11.95</v>
      </c>
      <c r="Y165" s="127">
        <f t="shared" si="150"/>
        <v>11.18</v>
      </c>
      <c r="Z165" s="154">
        <f t="shared" si="151"/>
        <v>11.95</v>
      </c>
      <c r="AA165" s="154">
        <f t="shared" si="152"/>
        <v>11.57</v>
      </c>
      <c r="AB165" s="154">
        <f t="shared" si="153"/>
        <v>11.95</v>
      </c>
      <c r="AC165" s="154">
        <f t="shared" si="154"/>
        <v>11.57</v>
      </c>
      <c r="AD165" s="154">
        <f t="shared" si="155"/>
        <v>11.95</v>
      </c>
      <c r="AE165" s="154">
        <f t="shared" si="156"/>
        <v>11.95</v>
      </c>
      <c r="AF165" s="128">
        <f t="shared" si="157"/>
        <v>11.57</v>
      </c>
      <c r="AG165" s="154">
        <f t="shared" si="158"/>
        <v>11.95</v>
      </c>
      <c r="AH165" s="154">
        <f t="shared" si="159"/>
        <v>11.57</v>
      </c>
      <c r="AI165" s="154"/>
      <c r="AJ165" s="154"/>
      <c r="AK165" s="154">
        <v>703.8</v>
      </c>
      <c r="AL165" s="154">
        <v>703.8</v>
      </c>
    </row>
    <row r="166" spans="2:38" s="189" customFormat="1" ht="9">
      <c r="B166" s="138" t="s">
        <v>503</v>
      </c>
      <c r="C166" s="124" t="s">
        <v>855</v>
      </c>
      <c r="D166" s="186" t="s">
        <v>865</v>
      </c>
      <c r="E166" s="126" t="s">
        <v>209</v>
      </c>
      <c r="F166" s="126" t="s">
        <v>866</v>
      </c>
      <c r="G166" s="127">
        <v>782</v>
      </c>
      <c r="H166" s="127">
        <f t="shared" si="147"/>
        <v>78.2</v>
      </c>
      <c r="I166" s="128">
        <f t="shared" si="146"/>
        <v>703.80000000000007</v>
      </c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>
        <v>139.19</v>
      </c>
      <c r="V166" s="127">
        <v>140.72999999999999</v>
      </c>
      <c r="W166" s="127">
        <f t="shared" si="148"/>
        <v>279.91999999999996</v>
      </c>
      <c r="X166" s="127">
        <f t="shared" si="149"/>
        <v>11.95</v>
      </c>
      <c r="Y166" s="127">
        <f t="shared" si="150"/>
        <v>11.18</v>
      </c>
      <c r="Z166" s="154">
        <f t="shared" si="151"/>
        <v>11.95</v>
      </c>
      <c r="AA166" s="154">
        <f t="shared" si="152"/>
        <v>11.57</v>
      </c>
      <c r="AB166" s="154">
        <f t="shared" si="153"/>
        <v>11.95</v>
      </c>
      <c r="AC166" s="154">
        <f t="shared" si="154"/>
        <v>11.57</v>
      </c>
      <c r="AD166" s="154">
        <f t="shared" si="155"/>
        <v>11.95</v>
      </c>
      <c r="AE166" s="154">
        <f t="shared" si="156"/>
        <v>11.95</v>
      </c>
      <c r="AF166" s="128">
        <f t="shared" si="157"/>
        <v>11.57</v>
      </c>
      <c r="AG166" s="154">
        <f t="shared" si="158"/>
        <v>11.95</v>
      </c>
      <c r="AH166" s="154">
        <f t="shared" si="159"/>
        <v>11.57</v>
      </c>
      <c r="AI166" s="154"/>
      <c r="AJ166" s="154"/>
      <c r="AK166" s="154">
        <v>703.8</v>
      </c>
      <c r="AL166" s="154">
        <v>703.8</v>
      </c>
    </row>
    <row r="167" spans="2:38" s="189" customFormat="1" ht="16.5">
      <c r="B167" s="138" t="s">
        <v>867</v>
      </c>
      <c r="C167" s="124" t="s">
        <v>868</v>
      </c>
      <c r="D167" s="186" t="s">
        <v>869</v>
      </c>
      <c r="E167" s="126" t="s">
        <v>121</v>
      </c>
      <c r="F167" s="126" t="s">
        <v>870</v>
      </c>
      <c r="G167" s="127">
        <v>1033.95</v>
      </c>
      <c r="H167" s="127">
        <f t="shared" si="147"/>
        <v>103.39500000000001</v>
      </c>
      <c r="I167" s="128">
        <f t="shared" si="146"/>
        <v>930.55500000000006</v>
      </c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>
        <v>115.77</v>
      </c>
      <c r="V167" s="127">
        <v>186.15</v>
      </c>
      <c r="W167" s="127">
        <f t="shared" si="148"/>
        <v>301.92</v>
      </c>
      <c r="X167" s="127">
        <f t="shared" si="149"/>
        <v>15.81</v>
      </c>
      <c r="Y167" s="127">
        <f t="shared" si="150"/>
        <v>14.79</v>
      </c>
      <c r="Z167" s="154">
        <f t="shared" si="151"/>
        <v>15.81</v>
      </c>
      <c r="AA167" s="154">
        <f t="shared" si="152"/>
        <v>15.3</v>
      </c>
      <c r="AB167" s="154">
        <f t="shared" si="153"/>
        <v>15.81</v>
      </c>
      <c r="AC167" s="154">
        <f t="shared" si="154"/>
        <v>15.3</v>
      </c>
      <c r="AD167" s="154">
        <f t="shared" si="155"/>
        <v>15.81</v>
      </c>
      <c r="AE167" s="154">
        <f t="shared" si="156"/>
        <v>15.81</v>
      </c>
      <c r="AF167" s="128">
        <f t="shared" si="157"/>
        <v>15.3</v>
      </c>
      <c r="AG167" s="154">
        <f t="shared" si="158"/>
        <v>15.81</v>
      </c>
      <c r="AH167" s="154">
        <f t="shared" si="159"/>
        <v>15.3</v>
      </c>
      <c r="AI167" s="154"/>
      <c r="AJ167" s="154"/>
      <c r="AK167" s="154">
        <v>930.56</v>
      </c>
      <c r="AL167" s="127">
        <v>930.56</v>
      </c>
    </row>
    <row r="168" spans="2:38" s="189" customFormat="1" ht="49.5">
      <c r="B168" s="138" t="s">
        <v>871</v>
      </c>
      <c r="C168" s="124" t="s">
        <v>872</v>
      </c>
      <c r="D168" s="186" t="s">
        <v>873</v>
      </c>
      <c r="E168" s="126" t="s">
        <v>121</v>
      </c>
      <c r="F168" s="126" t="s">
        <v>874</v>
      </c>
      <c r="G168" s="127">
        <v>2380.0700000000002</v>
      </c>
      <c r="H168" s="127">
        <f t="shared" si="147"/>
        <v>238.00700000000003</v>
      </c>
      <c r="I168" s="128">
        <f t="shared" si="146"/>
        <v>2142.0630000000001</v>
      </c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54"/>
      <c r="AA168" s="154"/>
      <c r="AB168" s="154"/>
      <c r="AC168" s="154"/>
      <c r="AD168" s="154"/>
      <c r="AE168" s="154"/>
      <c r="AF168" s="128"/>
      <c r="AG168" s="154"/>
      <c r="AH168" s="154"/>
      <c r="AI168" s="154"/>
      <c r="AJ168" s="154"/>
      <c r="AK168" s="154">
        <v>2142.06</v>
      </c>
      <c r="AL168" s="128">
        <f t="shared" ref="AL168:AL169" si="160">ROUND((I168+J168+K168+L168+M168+N168+O168+P168+Q168+R168+S168+T168+U168),2)</f>
        <v>2142.06</v>
      </c>
    </row>
    <row r="169" spans="2:38" s="189" customFormat="1" ht="57.75">
      <c r="B169" s="138" t="s">
        <v>871</v>
      </c>
      <c r="C169" s="124" t="s">
        <v>872</v>
      </c>
      <c r="D169" s="186" t="s">
        <v>875</v>
      </c>
      <c r="E169" s="126" t="s">
        <v>121</v>
      </c>
      <c r="F169" s="126" t="s">
        <v>876</v>
      </c>
      <c r="G169" s="127">
        <v>2380.06</v>
      </c>
      <c r="H169" s="127">
        <f t="shared" si="147"/>
        <v>238.006</v>
      </c>
      <c r="I169" s="128">
        <f t="shared" si="146"/>
        <v>2142.0540000000001</v>
      </c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54"/>
      <c r="AA169" s="154"/>
      <c r="AB169" s="154"/>
      <c r="AC169" s="154"/>
      <c r="AD169" s="154"/>
      <c r="AE169" s="154"/>
      <c r="AF169" s="128"/>
      <c r="AG169" s="154"/>
      <c r="AH169" s="154"/>
      <c r="AI169" s="154"/>
      <c r="AJ169" s="154"/>
      <c r="AK169" s="154">
        <v>2142.0500000000002</v>
      </c>
      <c r="AL169" s="128">
        <f t="shared" si="160"/>
        <v>2142.0500000000002</v>
      </c>
    </row>
    <row r="170" spans="2:38" s="189" customFormat="1" ht="16.5">
      <c r="B170" s="138" t="s">
        <v>877</v>
      </c>
      <c r="C170" s="124" t="s">
        <v>691</v>
      </c>
      <c r="D170" s="186" t="s">
        <v>878</v>
      </c>
      <c r="E170" s="126" t="s">
        <v>216</v>
      </c>
      <c r="F170" s="126" t="s">
        <v>879</v>
      </c>
      <c r="G170" s="127">
        <v>1425</v>
      </c>
      <c r="H170" s="127">
        <f t="shared" si="147"/>
        <v>142.5</v>
      </c>
      <c r="I170" s="128">
        <f t="shared" si="146"/>
        <v>1282.5</v>
      </c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54"/>
      <c r="AA170" s="154"/>
      <c r="AB170" s="154"/>
      <c r="AC170" s="154"/>
      <c r="AD170" s="154"/>
      <c r="AE170" s="154"/>
      <c r="AF170" s="128"/>
      <c r="AG170" s="154"/>
      <c r="AH170" s="154"/>
      <c r="AI170" s="154"/>
      <c r="AJ170" s="154"/>
      <c r="AK170" s="154">
        <v>1282.5</v>
      </c>
      <c r="AL170" s="127">
        <v>1282.5</v>
      </c>
    </row>
    <row r="171" spans="2:38" s="189" customFormat="1" ht="16.5">
      <c r="B171" s="138" t="s">
        <v>877</v>
      </c>
      <c r="C171" s="124" t="s">
        <v>691</v>
      </c>
      <c r="D171" s="186" t="s">
        <v>880</v>
      </c>
      <c r="E171" s="126" t="s">
        <v>353</v>
      </c>
      <c r="F171" s="126" t="s">
        <v>881</v>
      </c>
      <c r="G171" s="127">
        <v>1425</v>
      </c>
      <c r="H171" s="127">
        <f t="shared" si="147"/>
        <v>142.5</v>
      </c>
      <c r="I171" s="128">
        <f t="shared" si="146"/>
        <v>1282.5</v>
      </c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Z171" s="154"/>
      <c r="AA171" s="154"/>
      <c r="AB171" s="154"/>
      <c r="AC171" s="154"/>
      <c r="AD171" s="154"/>
      <c r="AE171" s="154"/>
      <c r="AF171" s="128"/>
      <c r="AG171" s="154"/>
      <c r="AH171" s="154"/>
      <c r="AI171" s="154"/>
      <c r="AJ171" s="154"/>
      <c r="AK171" s="154">
        <v>1282.5</v>
      </c>
      <c r="AL171" s="127">
        <v>1282.5</v>
      </c>
    </row>
    <row r="172" spans="2:38" s="189" customFormat="1" ht="16.5">
      <c r="B172" s="138" t="s">
        <v>882</v>
      </c>
      <c r="C172" s="124" t="s">
        <v>274</v>
      </c>
      <c r="D172" s="186" t="s">
        <v>883</v>
      </c>
      <c r="E172" s="126" t="s">
        <v>98</v>
      </c>
      <c r="F172" s="126" t="s">
        <v>884</v>
      </c>
      <c r="G172" s="127">
        <v>2131.9699999999998</v>
      </c>
      <c r="H172" s="127">
        <f t="shared" si="147"/>
        <v>213.197</v>
      </c>
      <c r="I172" s="128">
        <f t="shared" si="146"/>
        <v>1918.7729999999999</v>
      </c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Z172" s="154"/>
      <c r="AA172" s="154"/>
      <c r="AB172" s="154"/>
      <c r="AC172" s="154"/>
      <c r="AD172" s="154"/>
      <c r="AE172" s="154"/>
      <c r="AF172" s="128"/>
      <c r="AG172" s="154"/>
      <c r="AH172" s="154"/>
      <c r="AI172" s="154"/>
      <c r="AJ172" s="154"/>
      <c r="AK172" s="154">
        <v>1918.77</v>
      </c>
      <c r="AL172" s="127">
        <v>1918.77</v>
      </c>
    </row>
    <row r="173" spans="2:38" s="189" customFormat="1" ht="16.5">
      <c r="B173" s="138" t="s">
        <v>882</v>
      </c>
      <c r="C173" s="124" t="s">
        <v>274</v>
      </c>
      <c r="D173" s="186" t="s">
        <v>885</v>
      </c>
      <c r="E173" s="126" t="s">
        <v>98</v>
      </c>
      <c r="F173" s="126" t="s">
        <v>886</v>
      </c>
      <c r="G173" s="127">
        <v>2131.9699999999998</v>
      </c>
      <c r="H173" s="127">
        <f t="shared" si="147"/>
        <v>213.197</v>
      </c>
      <c r="I173" s="128">
        <f t="shared" si="146"/>
        <v>1918.7729999999999</v>
      </c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54"/>
      <c r="AA173" s="154"/>
      <c r="AB173" s="154"/>
      <c r="AC173" s="154"/>
      <c r="AD173" s="154"/>
      <c r="AE173" s="154"/>
      <c r="AF173" s="128"/>
      <c r="AG173" s="154"/>
      <c r="AH173" s="154"/>
      <c r="AI173" s="154"/>
      <c r="AJ173" s="154"/>
      <c r="AK173" s="154">
        <v>1918.77</v>
      </c>
      <c r="AL173" s="127">
        <v>1918.77</v>
      </c>
    </row>
    <row r="174" spans="2:38" s="189" customFormat="1" ht="16.5">
      <c r="B174" s="155">
        <v>40676</v>
      </c>
      <c r="C174" s="124" t="s">
        <v>887</v>
      </c>
      <c r="D174" s="152" t="s">
        <v>888</v>
      </c>
      <c r="E174" s="126" t="s">
        <v>98</v>
      </c>
      <c r="F174" s="126" t="s">
        <v>889</v>
      </c>
      <c r="G174" s="127">
        <v>2170</v>
      </c>
      <c r="H174" s="127">
        <f t="shared" si="147"/>
        <v>217</v>
      </c>
      <c r="I174" s="128">
        <f t="shared" si="146"/>
        <v>1953</v>
      </c>
      <c r="J174" s="159"/>
      <c r="K174" s="159"/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  <c r="W174" s="159"/>
      <c r="X174" s="159"/>
      <c r="Y174" s="159"/>
      <c r="Z174" s="159"/>
      <c r="AA174" s="159"/>
      <c r="AB174" s="159"/>
      <c r="AC174" s="159"/>
      <c r="AD174" s="159"/>
      <c r="AE174" s="159"/>
      <c r="AF174" s="159"/>
      <c r="AG174" s="159"/>
      <c r="AH174" s="159"/>
      <c r="AI174" s="159"/>
      <c r="AJ174" s="159"/>
      <c r="AK174" s="154">
        <v>1953</v>
      </c>
      <c r="AL174" s="127">
        <v>1953</v>
      </c>
    </row>
    <row r="175" spans="2:38" s="189" customFormat="1" ht="49.5">
      <c r="B175" s="156">
        <v>40905</v>
      </c>
      <c r="C175" s="157" t="s">
        <v>890</v>
      </c>
      <c r="D175" s="158" t="s">
        <v>891</v>
      </c>
      <c r="E175" s="159" t="s">
        <v>175</v>
      </c>
      <c r="F175" s="159" t="s">
        <v>892</v>
      </c>
      <c r="G175" s="128">
        <v>1921</v>
      </c>
      <c r="H175" s="128">
        <f t="shared" si="147"/>
        <v>192.10000000000002</v>
      </c>
      <c r="I175" s="128">
        <f t="shared" si="146"/>
        <v>1728.9</v>
      </c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>
        <v>2.84</v>
      </c>
      <c r="W175" s="128">
        <f>O175+P175+Q175+R175+S175+T175+U175+V175</f>
        <v>2.84</v>
      </c>
      <c r="X175" s="128">
        <f>ROUND((I175/5/365*31),2)</f>
        <v>29.37</v>
      </c>
      <c r="Y175" s="128">
        <f>ROUND((I175/5/365*29),2)</f>
        <v>27.47</v>
      </c>
      <c r="Z175" s="128">
        <f>ROUND((I175/5/365*31),2)</f>
        <v>29.37</v>
      </c>
      <c r="AA175" s="128">
        <f>ROUND((I175/5/365*30),2)</f>
        <v>28.42</v>
      </c>
      <c r="AB175" s="128">
        <f>ROUND((I175/5/365*31),2)</f>
        <v>29.37</v>
      </c>
      <c r="AC175" s="128">
        <f>ROUND((I175/5/365*30),2)</f>
        <v>28.42</v>
      </c>
      <c r="AD175" s="128">
        <f>ROUND((I175/5/365*31),2)</f>
        <v>29.37</v>
      </c>
      <c r="AE175" s="128">
        <f>ROUND((I175/5/365*31),2)</f>
        <v>29.37</v>
      </c>
      <c r="AF175" s="128">
        <f>ROUND((I175/5/365*30),2)</f>
        <v>28.42</v>
      </c>
      <c r="AG175" s="128">
        <f>ROUND((I175/5/365*31),2)</f>
        <v>29.37</v>
      </c>
      <c r="AH175" s="128">
        <f>ROUND((I175/5/365*30),2)</f>
        <v>28.42</v>
      </c>
      <c r="AI175" s="128">
        <f>ROUND((I175/5/365*31),2)</f>
        <v>29.37</v>
      </c>
      <c r="AJ175" s="128"/>
      <c r="AK175" s="128">
        <v>1728.9</v>
      </c>
      <c r="AL175" s="128">
        <v>1728.9</v>
      </c>
    </row>
    <row r="176" spans="2:38" s="189" customFormat="1" ht="49.5">
      <c r="B176" s="156">
        <v>40905</v>
      </c>
      <c r="C176" s="157" t="s">
        <v>890</v>
      </c>
      <c r="D176" s="158" t="s">
        <v>891</v>
      </c>
      <c r="E176" s="159" t="s">
        <v>209</v>
      </c>
      <c r="F176" s="159" t="s">
        <v>893</v>
      </c>
      <c r="G176" s="128">
        <v>1921</v>
      </c>
      <c r="H176" s="128">
        <f t="shared" si="147"/>
        <v>192.10000000000002</v>
      </c>
      <c r="I176" s="128">
        <f t="shared" si="146"/>
        <v>1728.9</v>
      </c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>
        <v>2.84</v>
      </c>
      <c r="W176" s="128">
        <f>O176+P176+Q176+R176+S176+T176+U176+V176</f>
        <v>2.84</v>
      </c>
      <c r="X176" s="128">
        <f>ROUND((I176/5/365*31),2)</f>
        <v>29.37</v>
      </c>
      <c r="Y176" s="128">
        <f>ROUND((I176/5/365*29),2)</f>
        <v>27.47</v>
      </c>
      <c r="Z176" s="128">
        <f>ROUND((I176/5/365*31),2)</f>
        <v>29.37</v>
      </c>
      <c r="AA176" s="128">
        <f>ROUND((I176/5/365*30),2)</f>
        <v>28.42</v>
      </c>
      <c r="AB176" s="128">
        <f>ROUND((I176/5/365*31),2)</f>
        <v>29.37</v>
      </c>
      <c r="AC176" s="128">
        <f>ROUND((I176/5/365*30),2)</f>
        <v>28.42</v>
      </c>
      <c r="AD176" s="128">
        <f>ROUND((I176/5/365*31),2)</f>
        <v>29.37</v>
      </c>
      <c r="AE176" s="128">
        <f>ROUND((I176/5/365*31),2)</f>
        <v>29.37</v>
      </c>
      <c r="AF176" s="128">
        <f>ROUND((I176/5/365*30),2)</f>
        <v>28.42</v>
      </c>
      <c r="AG176" s="128">
        <f>ROUND((I176/5/365*31),2)</f>
        <v>29.37</v>
      </c>
      <c r="AH176" s="128">
        <f>ROUND((I176/5/365*30),2)</f>
        <v>28.42</v>
      </c>
      <c r="AI176" s="128">
        <f>ROUND((I176/5/365*31),2)</f>
        <v>29.37</v>
      </c>
      <c r="AJ176" s="128"/>
      <c r="AK176" s="128">
        <v>1728.9</v>
      </c>
      <c r="AL176" s="128">
        <v>1728.9</v>
      </c>
    </row>
    <row r="177" spans="2:122" s="189" customFormat="1" ht="49.5">
      <c r="B177" s="156">
        <v>40905</v>
      </c>
      <c r="C177" s="157" t="s">
        <v>890</v>
      </c>
      <c r="D177" s="158" t="s">
        <v>891</v>
      </c>
      <c r="E177" s="159" t="s">
        <v>209</v>
      </c>
      <c r="F177" s="159" t="s">
        <v>894</v>
      </c>
      <c r="G177" s="128">
        <v>1921</v>
      </c>
      <c r="H177" s="128">
        <f t="shared" si="147"/>
        <v>192.10000000000002</v>
      </c>
      <c r="I177" s="128">
        <f t="shared" si="146"/>
        <v>1728.9</v>
      </c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>
        <v>2.84</v>
      </c>
      <c r="W177" s="128">
        <f>O177+P177+Q177+R177+S177+T177+U177+V177</f>
        <v>2.84</v>
      </c>
      <c r="X177" s="128">
        <f>ROUND((I177/5/365*31),2)</f>
        <v>29.37</v>
      </c>
      <c r="Y177" s="128">
        <f>ROUND((I177/5/365*29),2)</f>
        <v>27.47</v>
      </c>
      <c r="Z177" s="128">
        <f>ROUND((I177/5/365*31),2)</f>
        <v>29.37</v>
      </c>
      <c r="AA177" s="128">
        <f>ROUND((I177/5/365*30),2)</f>
        <v>28.42</v>
      </c>
      <c r="AB177" s="128">
        <f>ROUND((I177/5/365*31),2)</f>
        <v>29.37</v>
      </c>
      <c r="AC177" s="128">
        <f>ROUND((I177/5/365*30),2)</f>
        <v>28.42</v>
      </c>
      <c r="AD177" s="128">
        <f>ROUND((I177/5/365*31),2)</f>
        <v>29.37</v>
      </c>
      <c r="AE177" s="128">
        <f>ROUND((I177/5/365*31),2)</f>
        <v>29.37</v>
      </c>
      <c r="AF177" s="128">
        <f>ROUND((I177/5/365*30),2)</f>
        <v>28.42</v>
      </c>
      <c r="AG177" s="128">
        <f>ROUND((I177/5/365*31),2)</f>
        <v>29.37</v>
      </c>
      <c r="AH177" s="128">
        <f>ROUND((I177/5/365*30),2)</f>
        <v>28.42</v>
      </c>
      <c r="AI177" s="128">
        <f>ROUND((I177/5/365*31),2)</f>
        <v>29.37</v>
      </c>
      <c r="AJ177" s="128"/>
      <c r="AK177" s="128">
        <v>1728.9</v>
      </c>
      <c r="AL177" s="128">
        <v>1728.9</v>
      </c>
    </row>
    <row r="178" spans="2:122" s="197" customFormat="1" ht="11.25">
      <c r="B178" s="156">
        <v>41144</v>
      </c>
      <c r="C178" s="157" t="s">
        <v>249</v>
      </c>
      <c r="D178" s="158" t="s">
        <v>895</v>
      </c>
      <c r="E178" s="191" t="s">
        <v>614</v>
      </c>
      <c r="F178" s="192" t="s">
        <v>896</v>
      </c>
      <c r="G178" s="128">
        <v>1462.22</v>
      </c>
      <c r="H178" s="128">
        <f t="shared" si="147"/>
        <v>146.22200000000001</v>
      </c>
      <c r="I178" s="128">
        <f t="shared" si="146"/>
        <v>1315.998</v>
      </c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>
        <v>0</v>
      </c>
      <c r="X178" s="128">
        <v>0</v>
      </c>
      <c r="Y178" s="128">
        <v>0</v>
      </c>
      <c r="Z178" s="128">
        <v>0</v>
      </c>
      <c r="AA178" s="128">
        <v>0</v>
      </c>
      <c r="AB178" s="128">
        <v>0</v>
      </c>
      <c r="AC178" s="128">
        <v>0</v>
      </c>
      <c r="AD178" s="128">
        <v>0</v>
      </c>
      <c r="AE178" s="128">
        <f>ROUND((I178/5/365*8),2)</f>
        <v>5.77</v>
      </c>
      <c r="AF178" s="128">
        <f t="shared" ref="AF178:AF185" si="161">ROUND((I178/5/365*30),2)</f>
        <v>21.63</v>
      </c>
      <c r="AG178" s="128">
        <f t="shared" ref="AG178:AG185" si="162">ROUND((I178/5/365*31),2)</f>
        <v>22.35</v>
      </c>
      <c r="AH178" s="128">
        <f t="shared" ref="AH178:AH185" si="163">ROUND((I178/5/365*30),2)</f>
        <v>21.63</v>
      </c>
      <c r="AI178" s="128">
        <f t="shared" ref="AI178:AI185" si="164">ROUND((I178/5/365*31),2)</f>
        <v>22.35</v>
      </c>
      <c r="AJ178" s="128"/>
      <c r="AK178" s="128">
        <v>1316</v>
      </c>
      <c r="AL178" s="128">
        <v>1316</v>
      </c>
      <c r="AM178" s="193">
        <f t="shared" ref="AM178:AM185" si="165">ROUND((I178/5/365*31),2)</f>
        <v>22.35</v>
      </c>
      <c r="AN178" s="193">
        <f t="shared" ref="AN178:AN185" si="166">ROUND((I178/5/365*28),2)</f>
        <v>20.190000000000001</v>
      </c>
      <c r="AO178" s="193">
        <f t="shared" ref="AO178:AO185" si="167">ROUND((I178/5/365*31),2)</f>
        <v>22.35</v>
      </c>
      <c r="AP178" s="193">
        <f t="shared" ref="AP178:AP185" si="168">ROUND((I178/5/365*30),2)</f>
        <v>21.63</v>
      </c>
      <c r="AQ178" s="193">
        <f t="shared" ref="AQ178:AQ185" si="169">ROUND((I178/5/365*31),2)</f>
        <v>22.35</v>
      </c>
      <c r="AR178" s="193">
        <f t="shared" ref="AR178:AR185" si="170">ROUND((I178/5/365*30),2)</f>
        <v>21.63</v>
      </c>
      <c r="AS178" s="193">
        <f t="shared" ref="AS178:AS185" si="171">ROUND((I178/5/365*31),2)</f>
        <v>22.35</v>
      </c>
      <c r="AT178" s="193">
        <f t="shared" ref="AT178:AT185" si="172">ROUND((I178/5/365*31),2)</f>
        <v>22.35</v>
      </c>
      <c r="AU178" s="193">
        <f t="shared" ref="AU178:AU185" si="173">ROUND((I178/5/365*30),2)</f>
        <v>21.63</v>
      </c>
      <c r="AV178" s="193">
        <f t="shared" ref="AV178:AV185" si="174">ROUND((I178/5/365*31),2)</f>
        <v>22.35</v>
      </c>
      <c r="AW178" s="193">
        <f t="shared" ref="AW178:AW185" si="175">ROUND((I178/5/365*30),2)</f>
        <v>21.63</v>
      </c>
      <c r="AX178" s="193">
        <f t="shared" ref="AX178:AX185" si="176">ROUND((I178/5/365*31),2)</f>
        <v>22.35</v>
      </c>
      <c r="AY178" s="193">
        <f t="shared" ref="AY178:AY185" si="177">SUM(AM178:AX178)</f>
        <v>263.15999999999997</v>
      </c>
      <c r="AZ178" s="193">
        <f t="shared" ref="AZ178:AZ185" si="178">ROUND((AL178+AM178+AN178+AO178+AP178+AQ178+AR178+AS178+AT178+AU178+AV178+AW178+AX178),2)</f>
        <v>1579.16</v>
      </c>
      <c r="BA178" s="193">
        <f t="shared" ref="BA178:BA185" si="179">ROUND((I178/5/365*31),2)</f>
        <v>22.35</v>
      </c>
      <c r="BB178" s="193">
        <f t="shared" ref="BB178:BB185" si="180">ROUND((I178/5/365*28),2)</f>
        <v>20.190000000000001</v>
      </c>
      <c r="BC178" s="193">
        <f t="shared" ref="BC178:BC185" si="181">ROUND((I178/5/365*31),2)</f>
        <v>22.35</v>
      </c>
      <c r="BD178" s="193">
        <f t="shared" ref="BD178:BD185" si="182">ROUND((I178/5/365*30),2)</f>
        <v>21.63</v>
      </c>
      <c r="BE178" s="193">
        <f t="shared" ref="BE178:BE185" si="183">ROUND((I178/5/365*31),2)</f>
        <v>22.35</v>
      </c>
      <c r="BF178" s="193">
        <f t="shared" ref="BF178:BF185" si="184">ROUND((I178/5/365*30),2)</f>
        <v>21.63</v>
      </c>
      <c r="BG178" s="193">
        <f t="shared" ref="BG178:BG185" si="185">ROUND((I178/5/365*31),2)</f>
        <v>22.35</v>
      </c>
      <c r="BH178" s="193">
        <f t="shared" ref="BH178:BH185" si="186">ROUND((I178/5/365*31),2)</f>
        <v>22.35</v>
      </c>
      <c r="BI178" s="193">
        <f t="shared" ref="BI178:BI185" si="187">ROUND((I178/5/365*30),2)</f>
        <v>21.63</v>
      </c>
      <c r="BJ178" s="193">
        <f t="shared" ref="BJ178:BJ185" si="188">ROUND((I178/5/365*31),2)</f>
        <v>22.35</v>
      </c>
      <c r="BK178" s="193">
        <f t="shared" ref="BK178:BK185" si="189">ROUND((I178/5/365*30),2)</f>
        <v>21.63</v>
      </c>
      <c r="BL178" s="193">
        <f t="shared" ref="BL178:BL185" si="190">ROUND((I178/5/365*31),2)</f>
        <v>22.35</v>
      </c>
      <c r="BM178" s="193">
        <f t="shared" ref="BM178:BM185" si="191">SUM(BA178:BL178)</f>
        <v>263.15999999999997</v>
      </c>
      <c r="BN178" s="193">
        <f t="shared" ref="BN178:BN185" si="192">ROUND((AZ178+BM178),2)</f>
        <v>1842.32</v>
      </c>
      <c r="BO178" s="193">
        <f t="shared" ref="BO178:BO185" si="193">ROUND((I178/5/365*31),2)</f>
        <v>22.35</v>
      </c>
      <c r="BP178" s="193">
        <f t="shared" ref="BP178:BP185" si="194">ROUND((I178/5/365*28),2)</f>
        <v>20.190000000000001</v>
      </c>
      <c r="BQ178" s="193">
        <f t="shared" ref="BQ178:BQ185" si="195">ROUND((I178/5/365*31),2)</f>
        <v>22.35</v>
      </c>
      <c r="BR178" s="193">
        <f t="shared" ref="BR178:BR185" si="196">ROUND((I178/5/365*30),2)</f>
        <v>21.63</v>
      </c>
      <c r="BS178" s="193">
        <f t="shared" ref="BS178:BS185" si="197">ROUND((I178/5/365*31),2)</f>
        <v>22.35</v>
      </c>
      <c r="BT178" s="193">
        <f t="shared" ref="BT178:BT185" si="198">ROUND((I178/5/365*30),2)</f>
        <v>21.63</v>
      </c>
      <c r="BU178" s="193">
        <f t="shared" ref="BU178:BU185" si="199">ROUND((I178/5/365*31),2)</f>
        <v>22.35</v>
      </c>
      <c r="BV178" s="193">
        <f t="shared" ref="BV178:BV185" si="200">ROUND((I178/5/365*31),2)</f>
        <v>22.35</v>
      </c>
      <c r="BW178" s="193">
        <f t="shared" ref="BW178:BW185" si="201">ROUND((I178/5/365*30),2)</f>
        <v>21.63</v>
      </c>
      <c r="BX178" s="193">
        <f t="shared" ref="BX178:BX185" si="202">ROUND((I178/5/365*31),2)</f>
        <v>22.35</v>
      </c>
      <c r="BY178" s="193">
        <f t="shared" ref="BY178:BY185" si="203">ROUND((I178/5/365*30),2)</f>
        <v>21.63</v>
      </c>
      <c r="BZ178" s="193">
        <f t="shared" ref="BZ178:BZ185" si="204">ROUND((I178/5/365*31),2)</f>
        <v>22.35</v>
      </c>
      <c r="CA178" s="193">
        <f t="shared" ref="CA178:CA185" si="205">SUM(BO178:BZ178)</f>
        <v>263.15999999999997</v>
      </c>
      <c r="CB178" s="193">
        <f t="shared" ref="CB178:CB185" si="206">ROUND((BN178+CA178),2)</f>
        <v>2105.48</v>
      </c>
      <c r="CC178" s="193">
        <f t="shared" ref="CC178:CC185" si="207">ROUND((I178/5/365*31),2)</f>
        <v>22.35</v>
      </c>
      <c r="CD178" s="193">
        <f t="shared" ref="CD178:CD185" si="208">ROUND((I178/5/365*29),2)</f>
        <v>20.91</v>
      </c>
      <c r="CE178" s="193">
        <f t="shared" ref="CE178:CE185" si="209">ROUND((I178/5/365*31),2)</f>
        <v>22.35</v>
      </c>
      <c r="CF178" s="193">
        <f t="shared" ref="CF178:CF185" si="210">ROUND((I178/5/365*30),2)</f>
        <v>21.63</v>
      </c>
      <c r="CG178" s="193">
        <f t="shared" ref="CG178:CG185" si="211">ROUND((I178/5/365*31),2)</f>
        <v>22.35</v>
      </c>
      <c r="CH178" s="193">
        <f t="shared" ref="CH178:CH185" si="212">ROUND((I178/5/365*30),2)</f>
        <v>21.63</v>
      </c>
      <c r="CI178" s="193">
        <f t="shared" ref="CI178:CI185" si="213">ROUND((I178/5/365*31),2)</f>
        <v>22.35</v>
      </c>
      <c r="CJ178" s="193">
        <f t="shared" ref="CJ178:CJ185" si="214">ROUND((I178/5/365*31),2)</f>
        <v>22.35</v>
      </c>
      <c r="CK178" s="193">
        <f t="shared" ref="CK178:CK185" si="215">ROUND((I178/5/365*30),2)</f>
        <v>21.63</v>
      </c>
      <c r="CL178" s="193">
        <f t="shared" ref="CL178:CL185" si="216">ROUND((I178/5/365*31),2)</f>
        <v>22.35</v>
      </c>
      <c r="CM178" s="193">
        <f t="shared" ref="CM178:CM185" si="217">ROUND((I178/5/365*30),2)</f>
        <v>21.63</v>
      </c>
      <c r="CN178" s="193">
        <f t="shared" ref="CN178:CN185" si="218">ROUND((I178/5/365*31),2)</f>
        <v>22.35</v>
      </c>
      <c r="CO178" s="193">
        <f t="shared" ref="CO178:CO185" si="219">SUM(CC178:CN178)</f>
        <v>263.88</v>
      </c>
      <c r="CP178" s="194">
        <f t="shared" ref="CP178:CP185" si="220">ROUND((CB178+CO178),2)</f>
        <v>2369.36</v>
      </c>
      <c r="CQ178" s="193">
        <f>ROUND((I178/5/365*31),2)</f>
        <v>22.35</v>
      </c>
      <c r="CR178" s="193">
        <f t="shared" ref="CR178:CR185" si="221">ROUND((I178/5/365*28),2)</f>
        <v>20.190000000000001</v>
      </c>
      <c r="CS178" s="193">
        <f>ROUND((I178/5/365*31),2)</f>
        <v>22.35</v>
      </c>
      <c r="CT178" s="193">
        <f>ROUND((I178/5/365*30),2)</f>
        <v>21.63</v>
      </c>
      <c r="CU178" s="195">
        <f>ROUND((I178/5/365*31),2)</f>
        <v>22.35</v>
      </c>
      <c r="CV178" s="193">
        <f>ROUND((I178/5/365*30),2)</f>
        <v>21.63</v>
      </c>
      <c r="CW178" s="193">
        <f t="shared" ref="CW178:CW185" si="222">ROUND((I178/5/365*31),2)</f>
        <v>22.35</v>
      </c>
      <c r="CX178" s="193">
        <v>16.059999999999999</v>
      </c>
      <c r="CY178" s="193"/>
      <c r="CZ178" s="193"/>
      <c r="DA178" s="193"/>
      <c r="DB178" s="193"/>
      <c r="DC178" s="196">
        <f t="shared" ref="DC178:DC185" si="223">SUM(CQ178:DB178)</f>
        <v>168.91</v>
      </c>
      <c r="DD178" s="193">
        <f t="shared" ref="DD178:DD185" si="224">ROUND((CP178+CQ178+CR178+CS178+CT178+CU178+CV178+CW178+CX178+CZ178+DA178+CZ178+DB178),2)</f>
        <v>2538.27</v>
      </c>
      <c r="DE178" s="193">
        <f t="shared" ref="DE178:DE185" si="225">SUM(G178-DD178)</f>
        <v>-1076.05</v>
      </c>
    </row>
    <row r="179" spans="2:122" s="197" customFormat="1" ht="11.25">
      <c r="B179" s="156">
        <v>41144</v>
      </c>
      <c r="C179" s="157" t="s">
        <v>249</v>
      </c>
      <c r="D179" s="158" t="s">
        <v>895</v>
      </c>
      <c r="E179" s="191" t="s">
        <v>98</v>
      </c>
      <c r="F179" s="192" t="s">
        <v>897</v>
      </c>
      <c r="G179" s="128">
        <v>1462.22</v>
      </c>
      <c r="H179" s="128">
        <f t="shared" si="147"/>
        <v>146.22200000000001</v>
      </c>
      <c r="I179" s="128">
        <f t="shared" si="146"/>
        <v>1315.998</v>
      </c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>
        <v>0</v>
      </c>
      <c r="X179" s="128">
        <v>0</v>
      </c>
      <c r="Y179" s="128">
        <v>0</v>
      </c>
      <c r="Z179" s="128">
        <v>0</v>
      </c>
      <c r="AA179" s="128">
        <v>0</v>
      </c>
      <c r="AB179" s="128">
        <v>0</v>
      </c>
      <c r="AC179" s="128">
        <v>0</v>
      </c>
      <c r="AD179" s="128">
        <v>0</v>
      </c>
      <c r="AE179" s="128">
        <f t="shared" ref="AE179:AE185" si="226">ROUND((I179/5/365*8),2)</f>
        <v>5.77</v>
      </c>
      <c r="AF179" s="128">
        <f t="shared" si="161"/>
        <v>21.63</v>
      </c>
      <c r="AG179" s="128">
        <f t="shared" si="162"/>
        <v>22.35</v>
      </c>
      <c r="AH179" s="128">
        <f t="shared" si="163"/>
        <v>21.63</v>
      </c>
      <c r="AI179" s="128">
        <f t="shared" si="164"/>
        <v>22.35</v>
      </c>
      <c r="AJ179" s="128"/>
      <c r="AK179" s="128">
        <v>1316</v>
      </c>
      <c r="AL179" s="128">
        <v>1316</v>
      </c>
      <c r="AM179" s="193">
        <f t="shared" si="165"/>
        <v>22.35</v>
      </c>
      <c r="AN179" s="193">
        <f t="shared" si="166"/>
        <v>20.190000000000001</v>
      </c>
      <c r="AO179" s="193">
        <f t="shared" si="167"/>
        <v>22.35</v>
      </c>
      <c r="AP179" s="193">
        <f t="shared" si="168"/>
        <v>21.63</v>
      </c>
      <c r="AQ179" s="193">
        <f t="shared" si="169"/>
        <v>22.35</v>
      </c>
      <c r="AR179" s="193">
        <f t="shared" si="170"/>
        <v>21.63</v>
      </c>
      <c r="AS179" s="193">
        <f t="shared" si="171"/>
        <v>22.35</v>
      </c>
      <c r="AT179" s="193">
        <f t="shared" si="172"/>
        <v>22.35</v>
      </c>
      <c r="AU179" s="193">
        <f t="shared" si="173"/>
        <v>21.63</v>
      </c>
      <c r="AV179" s="193">
        <f t="shared" si="174"/>
        <v>22.35</v>
      </c>
      <c r="AW179" s="193">
        <f t="shared" si="175"/>
        <v>21.63</v>
      </c>
      <c r="AX179" s="193">
        <f t="shared" si="176"/>
        <v>22.35</v>
      </c>
      <c r="AY179" s="193">
        <f t="shared" si="177"/>
        <v>263.15999999999997</v>
      </c>
      <c r="AZ179" s="193">
        <f t="shared" si="178"/>
        <v>1579.16</v>
      </c>
      <c r="BA179" s="193">
        <f t="shared" si="179"/>
        <v>22.35</v>
      </c>
      <c r="BB179" s="193">
        <f t="shared" si="180"/>
        <v>20.190000000000001</v>
      </c>
      <c r="BC179" s="193">
        <f t="shared" si="181"/>
        <v>22.35</v>
      </c>
      <c r="BD179" s="193">
        <f t="shared" si="182"/>
        <v>21.63</v>
      </c>
      <c r="BE179" s="193">
        <f t="shared" si="183"/>
        <v>22.35</v>
      </c>
      <c r="BF179" s="193">
        <f t="shared" si="184"/>
        <v>21.63</v>
      </c>
      <c r="BG179" s="193">
        <f t="shared" si="185"/>
        <v>22.35</v>
      </c>
      <c r="BH179" s="193">
        <f t="shared" si="186"/>
        <v>22.35</v>
      </c>
      <c r="BI179" s="193">
        <f t="shared" si="187"/>
        <v>21.63</v>
      </c>
      <c r="BJ179" s="193">
        <f t="shared" si="188"/>
        <v>22.35</v>
      </c>
      <c r="BK179" s="193">
        <f t="shared" si="189"/>
        <v>21.63</v>
      </c>
      <c r="BL179" s="193">
        <f t="shared" si="190"/>
        <v>22.35</v>
      </c>
      <c r="BM179" s="193">
        <f t="shared" si="191"/>
        <v>263.15999999999997</v>
      </c>
      <c r="BN179" s="193">
        <f t="shared" si="192"/>
        <v>1842.32</v>
      </c>
      <c r="BO179" s="193">
        <f t="shared" si="193"/>
        <v>22.35</v>
      </c>
      <c r="BP179" s="193">
        <f t="shared" si="194"/>
        <v>20.190000000000001</v>
      </c>
      <c r="BQ179" s="193">
        <f t="shared" si="195"/>
        <v>22.35</v>
      </c>
      <c r="BR179" s="193">
        <f t="shared" si="196"/>
        <v>21.63</v>
      </c>
      <c r="BS179" s="193">
        <f t="shared" si="197"/>
        <v>22.35</v>
      </c>
      <c r="BT179" s="193">
        <f t="shared" si="198"/>
        <v>21.63</v>
      </c>
      <c r="BU179" s="193">
        <f t="shared" si="199"/>
        <v>22.35</v>
      </c>
      <c r="BV179" s="193">
        <f t="shared" si="200"/>
        <v>22.35</v>
      </c>
      <c r="BW179" s="193">
        <f t="shared" si="201"/>
        <v>21.63</v>
      </c>
      <c r="BX179" s="193">
        <f t="shared" si="202"/>
        <v>22.35</v>
      </c>
      <c r="BY179" s="193">
        <f t="shared" si="203"/>
        <v>21.63</v>
      </c>
      <c r="BZ179" s="193">
        <f t="shared" si="204"/>
        <v>22.35</v>
      </c>
      <c r="CA179" s="193">
        <f t="shared" si="205"/>
        <v>263.15999999999997</v>
      </c>
      <c r="CB179" s="193">
        <f t="shared" si="206"/>
        <v>2105.48</v>
      </c>
      <c r="CC179" s="193">
        <f t="shared" si="207"/>
        <v>22.35</v>
      </c>
      <c r="CD179" s="193">
        <f t="shared" si="208"/>
        <v>20.91</v>
      </c>
      <c r="CE179" s="193">
        <f t="shared" si="209"/>
        <v>22.35</v>
      </c>
      <c r="CF179" s="193">
        <f t="shared" si="210"/>
        <v>21.63</v>
      </c>
      <c r="CG179" s="193">
        <f t="shared" si="211"/>
        <v>22.35</v>
      </c>
      <c r="CH179" s="193">
        <f t="shared" si="212"/>
        <v>21.63</v>
      </c>
      <c r="CI179" s="193">
        <f t="shared" si="213"/>
        <v>22.35</v>
      </c>
      <c r="CJ179" s="193">
        <f t="shared" si="214"/>
        <v>22.35</v>
      </c>
      <c r="CK179" s="193">
        <f t="shared" si="215"/>
        <v>21.63</v>
      </c>
      <c r="CL179" s="193">
        <f t="shared" si="216"/>
        <v>22.35</v>
      </c>
      <c r="CM179" s="193">
        <f t="shared" si="217"/>
        <v>21.63</v>
      </c>
      <c r="CN179" s="193">
        <f t="shared" si="218"/>
        <v>22.35</v>
      </c>
      <c r="CO179" s="193">
        <f t="shared" si="219"/>
        <v>263.88</v>
      </c>
      <c r="CP179" s="194">
        <f t="shared" si="220"/>
        <v>2369.36</v>
      </c>
      <c r="CQ179" s="193">
        <f t="shared" ref="CQ179:CQ185" si="227">ROUND((I179/5/365*31),2)</f>
        <v>22.35</v>
      </c>
      <c r="CR179" s="193">
        <f t="shared" si="221"/>
        <v>20.190000000000001</v>
      </c>
      <c r="CS179" s="193">
        <f t="shared" ref="CS179:CS185" si="228">ROUND((I179/5/365*31),2)</f>
        <v>22.35</v>
      </c>
      <c r="CT179" s="193">
        <f t="shared" ref="CT179:CT185" si="229">ROUND((I179/5/365*30),2)</f>
        <v>21.63</v>
      </c>
      <c r="CU179" s="195">
        <f t="shared" ref="CU179:CU185" si="230">ROUND((I179/5/365*31),2)</f>
        <v>22.35</v>
      </c>
      <c r="CV179" s="193">
        <f t="shared" ref="CV179:CV185" si="231">ROUND((I179/5/365*30),2)</f>
        <v>21.63</v>
      </c>
      <c r="CW179" s="193">
        <f t="shared" si="222"/>
        <v>22.35</v>
      </c>
      <c r="CX179" s="193">
        <v>16.059999999999999</v>
      </c>
      <c r="CY179" s="193"/>
      <c r="CZ179" s="193"/>
      <c r="DA179" s="193"/>
      <c r="DB179" s="193"/>
      <c r="DC179" s="196">
        <f t="shared" si="223"/>
        <v>168.91</v>
      </c>
      <c r="DD179" s="193">
        <f t="shared" si="224"/>
        <v>2538.27</v>
      </c>
      <c r="DE179" s="193">
        <f t="shared" si="225"/>
        <v>-1076.05</v>
      </c>
    </row>
    <row r="180" spans="2:122" s="197" customFormat="1" ht="15" customHeight="1">
      <c r="B180" s="156">
        <v>41144</v>
      </c>
      <c r="C180" s="157" t="s">
        <v>249</v>
      </c>
      <c r="D180" s="158" t="s">
        <v>895</v>
      </c>
      <c r="E180" s="191" t="s">
        <v>203</v>
      </c>
      <c r="F180" s="192" t="s">
        <v>898</v>
      </c>
      <c r="G180" s="128">
        <v>1462.22</v>
      </c>
      <c r="H180" s="128">
        <f t="shared" si="147"/>
        <v>146.22200000000001</v>
      </c>
      <c r="I180" s="128">
        <f t="shared" si="146"/>
        <v>1315.998</v>
      </c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>
        <v>0</v>
      </c>
      <c r="X180" s="128">
        <v>0</v>
      </c>
      <c r="Y180" s="128">
        <v>0</v>
      </c>
      <c r="Z180" s="128">
        <v>0</v>
      </c>
      <c r="AA180" s="128">
        <v>0</v>
      </c>
      <c r="AB180" s="128">
        <v>0</v>
      </c>
      <c r="AC180" s="128">
        <v>0</v>
      </c>
      <c r="AD180" s="128">
        <v>0</v>
      </c>
      <c r="AE180" s="128">
        <f t="shared" si="226"/>
        <v>5.77</v>
      </c>
      <c r="AF180" s="128">
        <f t="shared" si="161"/>
        <v>21.63</v>
      </c>
      <c r="AG180" s="128">
        <f t="shared" si="162"/>
        <v>22.35</v>
      </c>
      <c r="AH180" s="128">
        <f t="shared" si="163"/>
        <v>21.63</v>
      </c>
      <c r="AI180" s="128">
        <f t="shared" si="164"/>
        <v>22.35</v>
      </c>
      <c r="AJ180" s="128"/>
      <c r="AK180" s="128">
        <v>1316</v>
      </c>
      <c r="AL180" s="128">
        <v>1316</v>
      </c>
      <c r="AM180" s="193">
        <f t="shared" si="165"/>
        <v>22.35</v>
      </c>
      <c r="AN180" s="193">
        <f t="shared" si="166"/>
        <v>20.190000000000001</v>
      </c>
      <c r="AO180" s="193">
        <f t="shared" si="167"/>
        <v>22.35</v>
      </c>
      <c r="AP180" s="193">
        <f t="shared" si="168"/>
        <v>21.63</v>
      </c>
      <c r="AQ180" s="193">
        <f t="shared" si="169"/>
        <v>22.35</v>
      </c>
      <c r="AR180" s="193">
        <f t="shared" si="170"/>
        <v>21.63</v>
      </c>
      <c r="AS180" s="193">
        <f t="shared" si="171"/>
        <v>22.35</v>
      </c>
      <c r="AT180" s="193">
        <f t="shared" si="172"/>
        <v>22.35</v>
      </c>
      <c r="AU180" s="193">
        <f t="shared" si="173"/>
        <v>21.63</v>
      </c>
      <c r="AV180" s="193">
        <f t="shared" si="174"/>
        <v>22.35</v>
      </c>
      <c r="AW180" s="193">
        <f t="shared" si="175"/>
        <v>21.63</v>
      </c>
      <c r="AX180" s="193">
        <f t="shared" si="176"/>
        <v>22.35</v>
      </c>
      <c r="AY180" s="193">
        <f t="shared" si="177"/>
        <v>263.15999999999997</v>
      </c>
      <c r="AZ180" s="193">
        <f t="shared" si="178"/>
        <v>1579.16</v>
      </c>
      <c r="BA180" s="193">
        <f t="shared" si="179"/>
        <v>22.35</v>
      </c>
      <c r="BB180" s="193">
        <f t="shared" si="180"/>
        <v>20.190000000000001</v>
      </c>
      <c r="BC180" s="193">
        <f t="shared" si="181"/>
        <v>22.35</v>
      </c>
      <c r="BD180" s="193">
        <f t="shared" si="182"/>
        <v>21.63</v>
      </c>
      <c r="BE180" s="193">
        <f t="shared" si="183"/>
        <v>22.35</v>
      </c>
      <c r="BF180" s="193">
        <f t="shared" si="184"/>
        <v>21.63</v>
      </c>
      <c r="BG180" s="193">
        <f t="shared" si="185"/>
        <v>22.35</v>
      </c>
      <c r="BH180" s="193">
        <f t="shared" si="186"/>
        <v>22.35</v>
      </c>
      <c r="BI180" s="193">
        <f t="shared" si="187"/>
        <v>21.63</v>
      </c>
      <c r="BJ180" s="193">
        <f t="shared" si="188"/>
        <v>22.35</v>
      </c>
      <c r="BK180" s="193">
        <f t="shared" si="189"/>
        <v>21.63</v>
      </c>
      <c r="BL180" s="193">
        <f t="shared" si="190"/>
        <v>22.35</v>
      </c>
      <c r="BM180" s="193">
        <f t="shared" si="191"/>
        <v>263.15999999999997</v>
      </c>
      <c r="BN180" s="193">
        <f t="shared" si="192"/>
        <v>1842.32</v>
      </c>
      <c r="BO180" s="193">
        <f t="shared" si="193"/>
        <v>22.35</v>
      </c>
      <c r="BP180" s="193">
        <f t="shared" si="194"/>
        <v>20.190000000000001</v>
      </c>
      <c r="BQ180" s="193">
        <f t="shared" si="195"/>
        <v>22.35</v>
      </c>
      <c r="BR180" s="193">
        <f t="shared" si="196"/>
        <v>21.63</v>
      </c>
      <c r="BS180" s="193">
        <f t="shared" si="197"/>
        <v>22.35</v>
      </c>
      <c r="BT180" s="193">
        <f t="shared" si="198"/>
        <v>21.63</v>
      </c>
      <c r="BU180" s="193">
        <f t="shared" si="199"/>
        <v>22.35</v>
      </c>
      <c r="BV180" s="193">
        <f t="shared" si="200"/>
        <v>22.35</v>
      </c>
      <c r="BW180" s="193">
        <f t="shared" si="201"/>
        <v>21.63</v>
      </c>
      <c r="BX180" s="193">
        <f t="shared" si="202"/>
        <v>22.35</v>
      </c>
      <c r="BY180" s="193">
        <f t="shared" si="203"/>
        <v>21.63</v>
      </c>
      <c r="BZ180" s="193">
        <f t="shared" si="204"/>
        <v>22.35</v>
      </c>
      <c r="CA180" s="193">
        <f t="shared" si="205"/>
        <v>263.15999999999997</v>
      </c>
      <c r="CB180" s="193">
        <f t="shared" si="206"/>
        <v>2105.48</v>
      </c>
      <c r="CC180" s="193">
        <f t="shared" si="207"/>
        <v>22.35</v>
      </c>
      <c r="CD180" s="193">
        <f t="shared" si="208"/>
        <v>20.91</v>
      </c>
      <c r="CE180" s="193">
        <f t="shared" si="209"/>
        <v>22.35</v>
      </c>
      <c r="CF180" s="193">
        <f t="shared" si="210"/>
        <v>21.63</v>
      </c>
      <c r="CG180" s="193">
        <f t="shared" si="211"/>
        <v>22.35</v>
      </c>
      <c r="CH180" s="193">
        <f t="shared" si="212"/>
        <v>21.63</v>
      </c>
      <c r="CI180" s="193">
        <f t="shared" si="213"/>
        <v>22.35</v>
      </c>
      <c r="CJ180" s="193">
        <f t="shared" si="214"/>
        <v>22.35</v>
      </c>
      <c r="CK180" s="193">
        <f t="shared" si="215"/>
        <v>21.63</v>
      </c>
      <c r="CL180" s="193">
        <f t="shared" si="216"/>
        <v>22.35</v>
      </c>
      <c r="CM180" s="193">
        <f t="shared" si="217"/>
        <v>21.63</v>
      </c>
      <c r="CN180" s="193">
        <f t="shared" si="218"/>
        <v>22.35</v>
      </c>
      <c r="CO180" s="193">
        <f t="shared" si="219"/>
        <v>263.88</v>
      </c>
      <c r="CP180" s="194">
        <f t="shared" si="220"/>
        <v>2369.36</v>
      </c>
      <c r="CQ180" s="193">
        <f t="shared" si="227"/>
        <v>22.35</v>
      </c>
      <c r="CR180" s="193">
        <f t="shared" si="221"/>
        <v>20.190000000000001</v>
      </c>
      <c r="CS180" s="193">
        <f t="shared" si="228"/>
        <v>22.35</v>
      </c>
      <c r="CT180" s="193">
        <f t="shared" si="229"/>
        <v>21.63</v>
      </c>
      <c r="CU180" s="195">
        <f t="shared" si="230"/>
        <v>22.35</v>
      </c>
      <c r="CV180" s="193">
        <f t="shared" si="231"/>
        <v>21.63</v>
      </c>
      <c r="CW180" s="193">
        <f t="shared" si="222"/>
        <v>22.35</v>
      </c>
      <c r="CX180" s="193">
        <v>16.059999999999999</v>
      </c>
      <c r="CY180" s="193"/>
      <c r="CZ180" s="193"/>
      <c r="DA180" s="193"/>
      <c r="DB180" s="193"/>
      <c r="DC180" s="196">
        <f t="shared" si="223"/>
        <v>168.91</v>
      </c>
      <c r="DD180" s="193">
        <f t="shared" si="224"/>
        <v>2538.27</v>
      </c>
      <c r="DE180" s="193">
        <f t="shared" si="225"/>
        <v>-1076.05</v>
      </c>
    </row>
    <row r="181" spans="2:122" s="197" customFormat="1" ht="15" customHeight="1">
      <c r="B181" s="156">
        <v>41144</v>
      </c>
      <c r="C181" s="157" t="s">
        <v>249</v>
      </c>
      <c r="D181" s="158" t="s">
        <v>895</v>
      </c>
      <c r="E181" s="191" t="s">
        <v>200</v>
      </c>
      <c r="F181" s="192" t="s">
        <v>899</v>
      </c>
      <c r="G181" s="128">
        <v>1462.22</v>
      </c>
      <c r="H181" s="128">
        <f t="shared" si="147"/>
        <v>146.22200000000001</v>
      </c>
      <c r="I181" s="128">
        <f t="shared" si="146"/>
        <v>1315.998</v>
      </c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>
        <v>0</v>
      </c>
      <c r="X181" s="128">
        <v>0</v>
      </c>
      <c r="Y181" s="128">
        <v>0</v>
      </c>
      <c r="Z181" s="128">
        <v>0</v>
      </c>
      <c r="AA181" s="128">
        <v>0</v>
      </c>
      <c r="AB181" s="128">
        <v>0</v>
      </c>
      <c r="AC181" s="128">
        <v>0</v>
      </c>
      <c r="AD181" s="128">
        <v>0</v>
      </c>
      <c r="AE181" s="128">
        <f t="shared" si="226"/>
        <v>5.77</v>
      </c>
      <c r="AF181" s="128">
        <f t="shared" si="161"/>
        <v>21.63</v>
      </c>
      <c r="AG181" s="128">
        <f t="shared" si="162"/>
        <v>22.35</v>
      </c>
      <c r="AH181" s="128">
        <f t="shared" si="163"/>
        <v>21.63</v>
      </c>
      <c r="AI181" s="128">
        <f t="shared" si="164"/>
        <v>22.35</v>
      </c>
      <c r="AJ181" s="128"/>
      <c r="AK181" s="128">
        <v>1316</v>
      </c>
      <c r="AL181" s="128">
        <v>1316</v>
      </c>
      <c r="AM181" s="193">
        <f t="shared" si="165"/>
        <v>22.35</v>
      </c>
      <c r="AN181" s="193">
        <f t="shared" si="166"/>
        <v>20.190000000000001</v>
      </c>
      <c r="AO181" s="193">
        <f t="shared" si="167"/>
        <v>22.35</v>
      </c>
      <c r="AP181" s="193">
        <f t="shared" si="168"/>
        <v>21.63</v>
      </c>
      <c r="AQ181" s="193">
        <f t="shared" si="169"/>
        <v>22.35</v>
      </c>
      <c r="AR181" s="193">
        <f t="shared" si="170"/>
        <v>21.63</v>
      </c>
      <c r="AS181" s="193">
        <f t="shared" si="171"/>
        <v>22.35</v>
      </c>
      <c r="AT181" s="193">
        <f t="shared" si="172"/>
        <v>22.35</v>
      </c>
      <c r="AU181" s="193">
        <f t="shared" si="173"/>
        <v>21.63</v>
      </c>
      <c r="AV181" s="193">
        <f t="shared" si="174"/>
        <v>22.35</v>
      </c>
      <c r="AW181" s="193">
        <f t="shared" si="175"/>
        <v>21.63</v>
      </c>
      <c r="AX181" s="193">
        <f t="shared" si="176"/>
        <v>22.35</v>
      </c>
      <c r="AY181" s="193">
        <f t="shared" si="177"/>
        <v>263.15999999999997</v>
      </c>
      <c r="AZ181" s="193">
        <f t="shared" si="178"/>
        <v>1579.16</v>
      </c>
      <c r="BA181" s="193">
        <f t="shared" si="179"/>
        <v>22.35</v>
      </c>
      <c r="BB181" s="193">
        <f t="shared" si="180"/>
        <v>20.190000000000001</v>
      </c>
      <c r="BC181" s="193">
        <f t="shared" si="181"/>
        <v>22.35</v>
      </c>
      <c r="BD181" s="193">
        <f t="shared" si="182"/>
        <v>21.63</v>
      </c>
      <c r="BE181" s="193">
        <f t="shared" si="183"/>
        <v>22.35</v>
      </c>
      <c r="BF181" s="193">
        <f t="shared" si="184"/>
        <v>21.63</v>
      </c>
      <c r="BG181" s="193">
        <f t="shared" si="185"/>
        <v>22.35</v>
      </c>
      <c r="BH181" s="193">
        <f t="shared" si="186"/>
        <v>22.35</v>
      </c>
      <c r="BI181" s="193">
        <f t="shared" si="187"/>
        <v>21.63</v>
      </c>
      <c r="BJ181" s="193">
        <f t="shared" si="188"/>
        <v>22.35</v>
      </c>
      <c r="BK181" s="193">
        <f t="shared" si="189"/>
        <v>21.63</v>
      </c>
      <c r="BL181" s="193">
        <f t="shared" si="190"/>
        <v>22.35</v>
      </c>
      <c r="BM181" s="193">
        <f t="shared" si="191"/>
        <v>263.15999999999997</v>
      </c>
      <c r="BN181" s="193">
        <f t="shared" si="192"/>
        <v>1842.32</v>
      </c>
      <c r="BO181" s="193">
        <f t="shared" si="193"/>
        <v>22.35</v>
      </c>
      <c r="BP181" s="193">
        <f t="shared" si="194"/>
        <v>20.190000000000001</v>
      </c>
      <c r="BQ181" s="193">
        <f t="shared" si="195"/>
        <v>22.35</v>
      </c>
      <c r="BR181" s="193">
        <f t="shared" si="196"/>
        <v>21.63</v>
      </c>
      <c r="BS181" s="193">
        <f t="shared" si="197"/>
        <v>22.35</v>
      </c>
      <c r="BT181" s="193">
        <f t="shared" si="198"/>
        <v>21.63</v>
      </c>
      <c r="BU181" s="193">
        <f t="shared" si="199"/>
        <v>22.35</v>
      </c>
      <c r="BV181" s="193">
        <f t="shared" si="200"/>
        <v>22.35</v>
      </c>
      <c r="BW181" s="193">
        <f t="shared" si="201"/>
        <v>21.63</v>
      </c>
      <c r="BX181" s="193">
        <f t="shared" si="202"/>
        <v>22.35</v>
      </c>
      <c r="BY181" s="193">
        <f t="shared" si="203"/>
        <v>21.63</v>
      </c>
      <c r="BZ181" s="193">
        <f t="shared" si="204"/>
        <v>22.35</v>
      </c>
      <c r="CA181" s="193">
        <f t="shared" si="205"/>
        <v>263.15999999999997</v>
      </c>
      <c r="CB181" s="193">
        <f t="shared" si="206"/>
        <v>2105.48</v>
      </c>
      <c r="CC181" s="193">
        <f t="shared" si="207"/>
        <v>22.35</v>
      </c>
      <c r="CD181" s="193">
        <f t="shared" si="208"/>
        <v>20.91</v>
      </c>
      <c r="CE181" s="193">
        <f t="shared" si="209"/>
        <v>22.35</v>
      </c>
      <c r="CF181" s="193">
        <f t="shared" si="210"/>
        <v>21.63</v>
      </c>
      <c r="CG181" s="193">
        <f t="shared" si="211"/>
        <v>22.35</v>
      </c>
      <c r="CH181" s="193">
        <f t="shared" si="212"/>
        <v>21.63</v>
      </c>
      <c r="CI181" s="193">
        <f t="shared" si="213"/>
        <v>22.35</v>
      </c>
      <c r="CJ181" s="193">
        <f t="shared" si="214"/>
        <v>22.35</v>
      </c>
      <c r="CK181" s="193">
        <f t="shared" si="215"/>
        <v>21.63</v>
      </c>
      <c r="CL181" s="193">
        <f t="shared" si="216"/>
        <v>22.35</v>
      </c>
      <c r="CM181" s="193">
        <f t="shared" si="217"/>
        <v>21.63</v>
      </c>
      <c r="CN181" s="193">
        <f t="shared" si="218"/>
        <v>22.35</v>
      </c>
      <c r="CO181" s="193">
        <f t="shared" si="219"/>
        <v>263.88</v>
      </c>
      <c r="CP181" s="194">
        <f t="shared" si="220"/>
        <v>2369.36</v>
      </c>
      <c r="CQ181" s="193">
        <f t="shared" si="227"/>
        <v>22.35</v>
      </c>
      <c r="CR181" s="193">
        <f t="shared" si="221"/>
        <v>20.190000000000001</v>
      </c>
      <c r="CS181" s="193">
        <f t="shared" si="228"/>
        <v>22.35</v>
      </c>
      <c r="CT181" s="193">
        <f t="shared" si="229"/>
        <v>21.63</v>
      </c>
      <c r="CU181" s="195">
        <f t="shared" si="230"/>
        <v>22.35</v>
      </c>
      <c r="CV181" s="193">
        <f t="shared" si="231"/>
        <v>21.63</v>
      </c>
      <c r="CW181" s="193">
        <f t="shared" si="222"/>
        <v>22.35</v>
      </c>
      <c r="CX181" s="193">
        <v>16.059999999999999</v>
      </c>
      <c r="CY181" s="193"/>
      <c r="CZ181" s="193"/>
      <c r="DA181" s="193"/>
      <c r="DB181" s="193"/>
      <c r="DC181" s="196">
        <f t="shared" si="223"/>
        <v>168.91</v>
      </c>
      <c r="DD181" s="193">
        <f t="shared" si="224"/>
        <v>2538.27</v>
      </c>
      <c r="DE181" s="193">
        <f t="shared" si="225"/>
        <v>-1076.05</v>
      </c>
    </row>
    <row r="182" spans="2:122" s="197" customFormat="1" ht="15" customHeight="1">
      <c r="B182" s="156">
        <v>41144</v>
      </c>
      <c r="C182" s="157" t="s">
        <v>249</v>
      </c>
      <c r="D182" s="158" t="s">
        <v>895</v>
      </c>
      <c r="E182" s="191" t="s">
        <v>94</v>
      </c>
      <c r="F182" s="192" t="s">
        <v>900</v>
      </c>
      <c r="G182" s="128">
        <v>1462.22</v>
      </c>
      <c r="H182" s="128">
        <f t="shared" si="147"/>
        <v>146.22200000000001</v>
      </c>
      <c r="I182" s="128">
        <f t="shared" si="146"/>
        <v>1315.998</v>
      </c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>
        <v>0</v>
      </c>
      <c r="X182" s="128">
        <v>0</v>
      </c>
      <c r="Y182" s="128">
        <v>0</v>
      </c>
      <c r="Z182" s="128">
        <v>0</v>
      </c>
      <c r="AA182" s="128">
        <v>0</v>
      </c>
      <c r="AB182" s="128">
        <v>0</v>
      </c>
      <c r="AC182" s="128">
        <v>0</v>
      </c>
      <c r="AD182" s="128">
        <v>0</v>
      </c>
      <c r="AE182" s="128">
        <f t="shared" si="226"/>
        <v>5.77</v>
      </c>
      <c r="AF182" s="128">
        <f t="shared" si="161"/>
        <v>21.63</v>
      </c>
      <c r="AG182" s="128">
        <f t="shared" si="162"/>
        <v>22.35</v>
      </c>
      <c r="AH182" s="128">
        <f t="shared" si="163"/>
        <v>21.63</v>
      </c>
      <c r="AI182" s="128">
        <f t="shared" si="164"/>
        <v>22.35</v>
      </c>
      <c r="AJ182" s="128"/>
      <c r="AK182" s="128">
        <v>1316</v>
      </c>
      <c r="AL182" s="128">
        <v>1316</v>
      </c>
      <c r="AM182" s="193">
        <f t="shared" si="165"/>
        <v>22.35</v>
      </c>
      <c r="AN182" s="193">
        <f t="shared" si="166"/>
        <v>20.190000000000001</v>
      </c>
      <c r="AO182" s="193">
        <f t="shared" si="167"/>
        <v>22.35</v>
      </c>
      <c r="AP182" s="193">
        <f t="shared" si="168"/>
        <v>21.63</v>
      </c>
      <c r="AQ182" s="193">
        <f t="shared" si="169"/>
        <v>22.35</v>
      </c>
      <c r="AR182" s="193">
        <f t="shared" si="170"/>
        <v>21.63</v>
      </c>
      <c r="AS182" s="193">
        <f t="shared" si="171"/>
        <v>22.35</v>
      </c>
      <c r="AT182" s="193">
        <f t="shared" si="172"/>
        <v>22.35</v>
      </c>
      <c r="AU182" s="193">
        <f t="shared" si="173"/>
        <v>21.63</v>
      </c>
      <c r="AV182" s="193">
        <f t="shared" si="174"/>
        <v>22.35</v>
      </c>
      <c r="AW182" s="193">
        <f t="shared" si="175"/>
        <v>21.63</v>
      </c>
      <c r="AX182" s="193">
        <f t="shared" si="176"/>
        <v>22.35</v>
      </c>
      <c r="AY182" s="193">
        <f t="shared" si="177"/>
        <v>263.15999999999997</v>
      </c>
      <c r="AZ182" s="193">
        <f t="shared" si="178"/>
        <v>1579.16</v>
      </c>
      <c r="BA182" s="193">
        <f t="shared" si="179"/>
        <v>22.35</v>
      </c>
      <c r="BB182" s="193">
        <f t="shared" si="180"/>
        <v>20.190000000000001</v>
      </c>
      <c r="BC182" s="193">
        <f t="shared" si="181"/>
        <v>22.35</v>
      </c>
      <c r="BD182" s="193">
        <f t="shared" si="182"/>
        <v>21.63</v>
      </c>
      <c r="BE182" s="193">
        <f t="shared" si="183"/>
        <v>22.35</v>
      </c>
      <c r="BF182" s="193">
        <f t="shared" si="184"/>
        <v>21.63</v>
      </c>
      <c r="BG182" s="193">
        <f t="shared" si="185"/>
        <v>22.35</v>
      </c>
      <c r="BH182" s="193">
        <f t="shared" si="186"/>
        <v>22.35</v>
      </c>
      <c r="BI182" s="193">
        <f t="shared" si="187"/>
        <v>21.63</v>
      </c>
      <c r="BJ182" s="193">
        <f t="shared" si="188"/>
        <v>22.35</v>
      </c>
      <c r="BK182" s="193">
        <f t="shared" si="189"/>
        <v>21.63</v>
      </c>
      <c r="BL182" s="193">
        <f t="shared" si="190"/>
        <v>22.35</v>
      </c>
      <c r="BM182" s="193">
        <f t="shared" si="191"/>
        <v>263.15999999999997</v>
      </c>
      <c r="BN182" s="193">
        <f t="shared" si="192"/>
        <v>1842.32</v>
      </c>
      <c r="BO182" s="193">
        <f t="shared" si="193"/>
        <v>22.35</v>
      </c>
      <c r="BP182" s="193">
        <f t="shared" si="194"/>
        <v>20.190000000000001</v>
      </c>
      <c r="BQ182" s="193">
        <f t="shared" si="195"/>
        <v>22.35</v>
      </c>
      <c r="BR182" s="193">
        <f t="shared" si="196"/>
        <v>21.63</v>
      </c>
      <c r="BS182" s="193">
        <f t="shared" si="197"/>
        <v>22.35</v>
      </c>
      <c r="BT182" s="193">
        <f t="shared" si="198"/>
        <v>21.63</v>
      </c>
      <c r="BU182" s="193">
        <f t="shared" si="199"/>
        <v>22.35</v>
      </c>
      <c r="BV182" s="193">
        <f t="shared" si="200"/>
        <v>22.35</v>
      </c>
      <c r="BW182" s="193">
        <f t="shared" si="201"/>
        <v>21.63</v>
      </c>
      <c r="BX182" s="193">
        <f t="shared" si="202"/>
        <v>22.35</v>
      </c>
      <c r="BY182" s="193">
        <f t="shared" si="203"/>
        <v>21.63</v>
      </c>
      <c r="BZ182" s="193">
        <f t="shared" si="204"/>
        <v>22.35</v>
      </c>
      <c r="CA182" s="193">
        <f t="shared" si="205"/>
        <v>263.15999999999997</v>
      </c>
      <c r="CB182" s="193">
        <f t="shared" si="206"/>
        <v>2105.48</v>
      </c>
      <c r="CC182" s="193">
        <f t="shared" si="207"/>
        <v>22.35</v>
      </c>
      <c r="CD182" s="193">
        <f t="shared" si="208"/>
        <v>20.91</v>
      </c>
      <c r="CE182" s="193">
        <f t="shared" si="209"/>
        <v>22.35</v>
      </c>
      <c r="CF182" s="193">
        <f t="shared" si="210"/>
        <v>21.63</v>
      </c>
      <c r="CG182" s="193">
        <f t="shared" si="211"/>
        <v>22.35</v>
      </c>
      <c r="CH182" s="193">
        <f t="shared" si="212"/>
        <v>21.63</v>
      </c>
      <c r="CI182" s="193">
        <f t="shared" si="213"/>
        <v>22.35</v>
      </c>
      <c r="CJ182" s="193">
        <f t="shared" si="214"/>
        <v>22.35</v>
      </c>
      <c r="CK182" s="193">
        <f t="shared" si="215"/>
        <v>21.63</v>
      </c>
      <c r="CL182" s="193">
        <f t="shared" si="216"/>
        <v>22.35</v>
      </c>
      <c r="CM182" s="193">
        <f t="shared" si="217"/>
        <v>21.63</v>
      </c>
      <c r="CN182" s="193">
        <f t="shared" si="218"/>
        <v>22.35</v>
      </c>
      <c r="CO182" s="193">
        <f t="shared" si="219"/>
        <v>263.88</v>
      </c>
      <c r="CP182" s="194">
        <f t="shared" si="220"/>
        <v>2369.36</v>
      </c>
      <c r="CQ182" s="193">
        <f t="shared" si="227"/>
        <v>22.35</v>
      </c>
      <c r="CR182" s="193">
        <f t="shared" si="221"/>
        <v>20.190000000000001</v>
      </c>
      <c r="CS182" s="193">
        <f t="shared" si="228"/>
        <v>22.35</v>
      </c>
      <c r="CT182" s="193">
        <f t="shared" si="229"/>
        <v>21.63</v>
      </c>
      <c r="CU182" s="195">
        <f t="shared" si="230"/>
        <v>22.35</v>
      </c>
      <c r="CV182" s="193">
        <f t="shared" si="231"/>
        <v>21.63</v>
      </c>
      <c r="CW182" s="193">
        <f t="shared" si="222"/>
        <v>22.35</v>
      </c>
      <c r="CX182" s="193">
        <v>16.059999999999999</v>
      </c>
      <c r="CY182" s="193"/>
      <c r="CZ182" s="193"/>
      <c r="DA182" s="193"/>
      <c r="DB182" s="193"/>
      <c r="DC182" s="196">
        <f t="shared" si="223"/>
        <v>168.91</v>
      </c>
      <c r="DD182" s="193">
        <f t="shared" si="224"/>
        <v>2538.27</v>
      </c>
      <c r="DE182" s="193">
        <f t="shared" si="225"/>
        <v>-1076.05</v>
      </c>
    </row>
    <row r="183" spans="2:122" s="197" customFormat="1" ht="15" customHeight="1">
      <c r="B183" s="156">
        <v>41144</v>
      </c>
      <c r="C183" s="157" t="s">
        <v>249</v>
      </c>
      <c r="D183" s="158" t="s">
        <v>895</v>
      </c>
      <c r="E183" s="191" t="s">
        <v>159</v>
      </c>
      <c r="F183" s="192" t="s">
        <v>901</v>
      </c>
      <c r="G183" s="128">
        <v>1462.22</v>
      </c>
      <c r="H183" s="128">
        <f t="shared" si="147"/>
        <v>146.22200000000001</v>
      </c>
      <c r="I183" s="128">
        <f t="shared" si="146"/>
        <v>1315.998</v>
      </c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>
        <v>0</v>
      </c>
      <c r="X183" s="128">
        <v>0</v>
      </c>
      <c r="Y183" s="128">
        <v>0</v>
      </c>
      <c r="Z183" s="128">
        <v>0</v>
      </c>
      <c r="AA183" s="128">
        <v>0</v>
      </c>
      <c r="AB183" s="128">
        <v>0</v>
      </c>
      <c r="AC183" s="128">
        <v>0</v>
      </c>
      <c r="AD183" s="128">
        <v>0</v>
      </c>
      <c r="AE183" s="128">
        <f t="shared" si="226"/>
        <v>5.77</v>
      </c>
      <c r="AF183" s="128">
        <f t="shared" si="161"/>
        <v>21.63</v>
      </c>
      <c r="AG183" s="128">
        <f t="shared" si="162"/>
        <v>22.35</v>
      </c>
      <c r="AH183" s="128">
        <f t="shared" si="163"/>
        <v>21.63</v>
      </c>
      <c r="AI183" s="128">
        <f t="shared" si="164"/>
        <v>22.35</v>
      </c>
      <c r="AJ183" s="128"/>
      <c r="AK183" s="128">
        <v>1316</v>
      </c>
      <c r="AL183" s="128">
        <v>1316</v>
      </c>
      <c r="AM183" s="193">
        <f t="shared" si="165"/>
        <v>22.35</v>
      </c>
      <c r="AN183" s="193">
        <f t="shared" si="166"/>
        <v>20.190000000000001</v>
      </c>
      <c r="AO183" s="193">
        <f t="shared" si="167"/>
        <v>22.35</v>
      </c>
      <c r="AP183" s="193">
        <f t="shared" si="168"/>
        <v>21.63</v>
      </c>
      <c r="AQ183" s="193">
        <f t="shared" si="169"/>
        <v>22.35</v>
      </c>
      <c r="AR183" s="193">
        <f t="shared" si="170"/>
        <v>21.63</v>
      </c>
      <c r="AS183" s="193">
        <f t="shared" si="171"/>
        <v>22.35</v>
      </c>
      <c r="AT183" s="193">
        <f t="shared" si="172"/>
        <v>22.35</v>
      </c>
      <c r="AU183" s="193">
        <f t="shared" si="173"/>
        <v>21.63</v>
      </c>
      <c r="AV183" s="193">
        <f t="shared" si="174"/>
        <v>22.35</v>
      </c>
      <c r="AW183" s="193">
        <f t="shared" si="175"/>
        <v>21.63</v>
      </c>
      <c r="AX183" s="193">
        <f t="shared" si="176"/>
        <v>22.35</v>
      </c>
      <c r="AY183" s="193">
        <f t="shared" si="177"/>
        <v>263.15999999999997</v>
      </c>
      <c r="AZ183" s="193">
        <f t="shared" si="178"/>
        <v>1579.16</v>
      </c>
      <c r="BA183" s="193">
        <f t="shared" si="179"/>
        <v>22.35</v>
      </c>
      <c r="BB183" s="193">
        <f t="shared" si="180"/>
        <v>20.190000000000001</v>
      </c>
      <c r="BC183" s="193">
        <f t="shared" si="181"/>
        <v>22.35</v>
      </c>
      <c r="BD183" s="193">
        <f t="shared" si="182"/>
        <v>21.63</v>
      </c>
      <c r="BE183" s="193">
        <f t="shared" si="183"/>
        <v>22.35</v>
      </c>
      <c r="BF183" s="193">
        <f t="shared" si="184"/>
        <v>21.63</v>
      </c>
      <c r="BG183" s="193">
        <f t="shared" si="185"/>
        <v>22.35</v>
      </c>
      <c r="BH183" s="193">
        <f t="shared" si="186"/>
        <v>22.35</v>
      </c>
      <c r="BI183" s="193">
        <f t="shared" si="187"/>
        <v>21.63</v>
      </c>
      <c r="BJ183" s="193">
        <f t="shared" si="188"/>
        <v>22.35</v>
      </c>
      <c r="BK183" s="193">
        <f t="shared" si="189"/>
        <v>21.63</v>
      </c>
      <c r="BL183" s="193">
        <f t="shared" si="190"/>
        <v>22.35</v>
      </c>
      <c r="BM183" s="193">
        <f t="shared" si="191"/>
        <v>263.15999999999997</v>
      </c>
      <c r="BN183" s="193">
        <f t="shared" si="192"/>
        <v>1842.32</v>
      </c>
      <c r="BO183" s="193">
        <f t="shared" si="193"/>
        <v>22.35</v>
      </c>
      <c r="BP183" s="193">
        <f t="shared" si="194"/>
        <v>20.190000000000001</v>
      </c>
      <c r="BQ183" s="193">
        <f t="shared" si="195"/>
        <v>22.35</v>
      </c>
      <c r="BR183" s="193">
        <f t="shared" si="196"/>
        <v>21.63</v>
      </c>
      <c r="BS183" s="193">
        <f t="shared" si="197"/>
        <v>22.35</v>
      </c>
      <c r="BT183" s="193">
        <f t="shared" si="198"/>
        <v>21.63</v>
      </c>
      <c r="BU183" s="193">
        <f t="shared" si="199"/>
        <v>22.35</v>
      </c>
      <c r="BV183" s="193">
        <f t="shared" si="200"/>
        <v>22.35</v>
      </c>
      <c r="BW183" s="193">
        <f t="shared" si="201"/>
        <v>21.63</v>
      </c>
      <c r="BX183" s="193">
        <f t="shared" si="202"/>
        <v>22.35</v>
      </c>
      <c r="BY183" s="193">
        <f t="shared" si="203"/>
        <v>21.63</v>
      </c>
      <c r="BZ183" s="193">
        <f t="shared" si="204"/>
        <v>22.35</v>
      </c>
      <c r="CA183" s="193">
        <f t="shared" si="205"/>
        <v>263.15999999999997</v>
      </c>
      <c r="CB183" s="193">
        <f t="shared" si="206"/>
        <v>2105.48</v>
      </c>
      <c r="CC183" s="193">
        <f t="shared" si="207"/>
        <v>22.35</v>
      </c>
      <c r="CD183" s="193">
        <f t="shared" si="208"/>
        <v>20.91</v>
      </c>
      <c r="CE183" s="193">
        <f t="shared" si="209"/>
        <v>22.35</v>
      </c>
      <c r="CF183" s="193">
        <f t="shared" si="210"/>
        <v>21.63</v>
      </c>
      <c r="CG183" s="193">
        <f t="shared" si="211"/>
        <v>22.35</v>
      </c>
      <c r="CH183" s="193">
        <f t="shared" si="212"/>
        <v>21.63</v>
      </c>
      <c r="CI183" s="193">
        <f t="shared" si="213"/>
        <v>22.35</v>
      </c>
      <c r="CJ183" s="193">
        <f t="shared" si="214"/>
        <v>22.35</v>
      </c>
      <c r="CK183" s="193">
        <f t="shared" si="215"/>
        <v>21.63</v>
      </c>
      <c r="CL183" s="193">
        <f t="shared" si="216"/>
        <v>22.35</v>
      </c>
      <c r="CM183" s="193">
        <f t="shared" si="217"/>
        <v>21.63</v>
      </c>
      <c r="CN183" s="193">
        <f t="shared" si="218"/>
        <v>22.35</v>
      </c>
      <c r="CO183" s="193">
        <f t="shared" si="219"/>
        <v>263.88</v>
      </c>
      <c r="CP183" s="194">
        <f t="shared" si="220"/>
        <v>2369.36</v>
      </c>
      <c r="CQ183" s="193">
        <f t="shared" si="227"/>
        <v>22.35</v>
      </c>
      <c r="CR183" s="193">
        <f t="shared" si="221"/>
        <v>20.190000000000001</v>
      </c>
      <c r="CS183" s="193">
        <f t="shared" si="228"/>
        <v>22.35</v>
      </c>
      <c r="CT183" s="193">
        <f t="shared" si="229"/>
        <v>21.63</v>
      </c>
      <c r="CU183" s="195">
        <f t="shared" si="230"/>
        <v>22.35</v>
      </c>
      <c r="CV183" s="193">
        <f t="shared" si="231"/>
        <v>21.63</v>
      </c>
      <c r="CW183" s="193">
        <f t="shared" si="222"/>
        <v>22.35</v>
      </c>
      <c r="CX183" s="193">
        <v>16.059999999999999</v>
      </c>
      <c r="CY183" s="193"/>
      <c r="CZ183" s="193"/>
      <c r="DA183" s="193"/>
      <c r="DB183" s="193"/>
      <c r="DC183" s="196">
        <f t="shared" si="223"/>
        <v>168.91</v>
      </c>
      <c r="DD183" s="193">
        <f t="shared" si="224"/>
        <v>2538.27</v>
      </c>
      <c r="DE183" s="193">
        <f t="shared" si="225"/>
        <v>-1076.05</v>
      </c>
    </row>
    <row r="184" spans="2:122" s="197" customFormat="1" ht="15" customHeight="1">
      <c r="B184" s="156">
        <v>41144</v>
      </c>
      <c r="C184" s="157" t="s">
        <v>249</v>
      </c>
      <c r="D184" s="158" t="s">
        <v>895</v>
      </c>
      <c r="E184" s="191" t="s">
        <v>159</v>
      </c>
      <c r="F184" s="192" t="s">
        <v>902</v>
      </c>
      <c r="G184" s="128">
        <v>1462.22</v>
      </c>
      <c r="H184" s="128">
        <f t="shared" si="147"/>
        <v>146.22200000000001</v>
      </c>
      <c r="I184" s="128">
        <f t="shared" si="146"/>
        <v>1315.998</v>
      </c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>
        <v>0</v>
      </c>
      <c r="X184" s="128">
        <v>0</v>
      </c>
      <c r="Y184" s="128">
        <v>0</v>
      </c>
      <c r="Z184" s="128">
        <v>0</v>
      </c>
      <c r="AA184" s="128">
        <v>0</v>
      </c>
      <c r="AB184" s="128">
        <v>0</v>
      </c>
      <c r="AC184" s="128">
        <v>0</v>
      </c>
      <c r="AD184" s="128">
        <v>0</v>
      </c>
      <c r="AE184" s="128">
        <f t="shared" si="226"/>
        <v>5.77</v>
      </c>
      <c r="AF184" s="128">
        <f t="shared" si="161"/>
        <v>21.63</v>
      </c>
      <c r="AG184" s="128">
        <f t="shared" si="162"/>
        <v>22.35</v>
      </c>
      <c r="AH184" s="128">
        <f t="shared" si="163"/>
        <v>21.63</v>
      </c>
      <c r="AI184" s="128">
        <f t="shared" si="164"/>
        <v>22.35</v>
      </c>
      <c r="AJ184" s="128"/>
      <c r="AK184" s="128">
        <v>1316</v>
      </c>
      <c r="AL184" s="128">
        <v>1316</v>
      </c>
      <c r="AM184" s="193">
        <f t="shared" si="165"/>
        <v>22.35</v>
      </c>
      <c r="AN184" s="193">
        <f t="shared" si="166"/>
        <v>20.190000000000001</v>
      </c>
      <c r="AO184" s="193">
        <f t="shared" si="167"/>
        <v>22.35</v>
      </c>
      <c r="AP184" s="193">
        <f t="shared" si="168"/>
        <v>21.63</v>
      </c>
      <c r="AQ184" s="193">
        <f t="shared" si="169"/>
        <v>22.35</v>
      </c>
      <c r="AR184" s="193">
        <f t="shared" si="170"/>
        <v>21.63</v>
      </c>
      <c r="AS184" s="193">
        <f t="shared" si="171"/>
        <v>22.35</v>
      </c>
      <c r="AT184" s="193">
        <f t="shared" si="172"/>
        <v>22.35</v>
      </c>
      <c r="AU184" s="193">
        <f t="shared" si="173"/>
        <v>21.63</v>
      </c>
      <c r="AV184" s="193">
        <f t="shared" si="174"/>
        <v>22.35</v>
      </c>
      <c r="AW184" s="193">
        <f t="shared" si="175"/>
        <v>21.63</v>
      </c>
      <c r="AX184" s="193">
        <f t="shared" si="176"/>
        <v>22.35</v>
      </c>
      <c r="AY184" s="193">
        <f t="shared" si="177"/>
        <v>263.15999999999997</v>
      </c>
      <c r="AZ184" s="193">
        <f t="shared" si="178"/>
        <v>1579.16</v>
      </c>
      <c r="BA184" s="193">
        <f t="shared" si="179"/>
        <v>22.35</v>
      </c>
      <c r="BB184" s="193">
        <f t="shared" si="180"/>
        <v>20.190000000000001</v>
      </c>
      <c r="BC184" s="193">
        <f t="shared" si="181"/>
        <v>22.35</v>
      </c>
      <c r="BD184" s="193">
        <f t="shared" si="182"/>
        <v>21.63</v>
      </c>
      <c r="BE184" s="193">
        <f t="shared" si="183"/>
        <v>22.35</v>
      </c>
      <c r="BF184" s="193">
        <f t="shared" si="184"/>
        <v>21.63</v>
      </c>
      <c r="BG184" s="193">
        <f t="shared" si="185"/>
        <v>22.35</v>
      </c>
      <c r="BH184" s="193">
        <f t="shared" si="186"/>
        <v>22.35</v>
      </c>
      <c r="BI184" s="193">
        <f t="shared" si="187"/>
        <v>21.63</v>
      </c>
      <c r="BJ184" s="193">
        <f t="shared" si="188"/>
        <v>22.35</v>
      </c>
      <c r="BK184" s="193">
        <f t="shared" si="189"/>
        <v>21.63</v>
      </c>
      <c r="BL184" s="193">
        <f t="shared" si="190"/>
        <v>22.35</v>
      </c>
      <c r="BM184" s="193">
        <f t="shared" si="191"/>
        <v>263.15999999999997</v>
      </c>
      <c r="BN184" s="193">
        <f t="shared" si="192"/>
        <v>1842.32</v>
      </c>
      <c r="BO184" s="193">
        <f t="shared" si="193"/>
        <v>22.35</v>
      </c>
      <c r="BP184" s="193">
        <f t="shared" si="194"/>
        <v>20.190000000000001</v>
      </c>
      <c r="BQ184" s="193">
        <f t="shared" si="195"/>
        <v>22.35</v>
      </c>
      <c r="BR184" s="193">
        <f t="shared" si="196"/>
        <v>21.63</v>
      </c>
      <c r="BS184" s="193">
        <f t="shared" si="197"/>
        <v>22.35</v>
      </c>
      <c r="BT184" s="193">
        <f t="shared" si="198"/>
        <v>21.63</v>
      </c>
      <c r="BU184" s="193">
        <f t="shared" si="199"/>
        <v>22.35</v>
      </c>
      <c r="BV184" s="193">
        <f t="shared" si="200"/>
        <v>22.35</v>
      </c>
      <c r="BW184" s="193">
        <f t="shared" si="201"/>
        <v>21.63</v>
      </c>
      <c r="BX184" s="193">
        <f t="shared" si="202"/>
        <v>22.35</v>
      </c>
      <c r="BY184" s="193">
        <f t="shared" si="203"/>
        <v>21.63</v>
      </c>
      <c r="BZ184" s="193">
        <f t="shared" si="204"/>
        <v>22.35</v>
      </c>
      <c r="CA184" s="193">
        <f t="shared" si="205"/>
        <v>263.15999999999997</v>
      </c>
      <c r="CB184" s="193">
        <f t="shared" si="206"/>
        <v>2105.48</v>
      </c>
      <c r="CC184" s="193">
        <f t="shared" si="207"/>
        <v>22.35</v>
      </c>
      <c r="CD184" s="193">
        <f t="shared" si="208"/>
        <v>20.91</v>
      </c>
      <c r="CE184" s="193">
        <f t="shared" si="209"/>
        <v>22.35</v>
      </c>
      <c r="CF184" s="193">
        <f t="shared" si="210"/>
        <v>21.63</v>
      </c>
      <c r="CG184" s="193">
        <f t="shared" si="211"/>
        <v>22.35</v>
      </c>
      <c r="CH184" s="193">
        <f t="shared" si="212"/>
        <v>21.63</v>
      </c>
      <c r="CI184" s="193">
        <f t="shared" si="213"/>
        <v>22.35</v>
      </c>
      <c r="CJ184" s="193">
        <f t="shared" si="214"/>
        <v>22.35</v>
      </c>
      <c r="CK184" s="193">
        <f t="shared" si="215"/>
        <v>21.63</v>
      </c>
      <c r="CL184" s="193">
        <f t="shared" si="216"/>
        <v>22.35</v>
      </c>
      <c r="CM184" s="193">
        <f t="shared" si="217"/>
        <v>21.63</v>
      </c>
      <c r="CN184" s="193">
        <f t="shared" si="218"/>
        <v>22.35</v>
      </c>
      <c r="CO184" s="193">
        <f t="shared" si="219"/>
        <v>263.88</v>
      </c>
      <c r="CP184" s="194">
        <f t="shared" si="220"/>
        <v>2369.36</v>
      </c>
      <c r="CQ184" s="193">
        <f t="shared" si="227"/>
        <v>22.35</v>
      </c>
      <c r="CR184" s="193">
        <f t="shared" si="221"/>
        <v>20.190000000000001</v>
      </c>
      <c r="CS184" s="193">
        <f t="shared" si="228"/>
        <v>22.35</v>
      </c>
      <c r="CT184" s="193">
        <f t="shared" si="229"/>
        <v>21.63</v>
      </c>
      <c r="CU184" s="195">
        <f t="shared" si="230"/>
        <v>22.35</v>
      </c>
      <c r="CV184" s="193">
        <f t="shared" si="231"/>
        <v>21.63</v>
      </c>
      <c r="CW184" s="193">
        <f t="shared" si="222"/>
        <v>22.35</v>
      </c>
      <c r="CX184" s="193">
        <v>16.059999999999999</v>
      </c>
      <c r="CY184" s="193"/>
      <c r="CZ184" s="193"/>
      <c r="DA184" s="193"/>
      <c r="DB184" s="193"/>
      <c r="DC184" s="196">
        <f t="shared" si="223"/>
        <v>168.91</v>
      </c>
      <c r="DD184" s="193">
        <f t="shared" si="224"/>
        <v>2538.27</v>
      </c>
      <c r="DE184" s="193">
        <f t="shared" si="225"/>
        <v>-1076.05</v>
      </c>
    </row>
    <row r="185" spans="2:122" s="197" customFormat="1" ht="15" customHeight="1">
      <c r="B185" s="156">
        <v>41144</v>
      </c>
      <c r="C185" s="157" t="s">
        <v>249</v>
      </c>
      <c r="D185" s="158" t="s">
        <v>895</v>
      </c>
      <c r="E185" s="191" t="s">
        <v>903</v>
      </c>
      <c r="F185" s="192" t="s">
        <v>904</v>
      </c>
      <c r="G185" s="128">
        <v>1462.22</v>
      </c>
      <c r="H185" s="128">
        <f t="shared" si="147"/>
        <v>146.22200000000001</v>
      </c>
      <c r="I185" s="128">
        <f t="shared" si="146"/>
        <v>1315.998</v>
      </c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>
        <v>0</v>
      </c>
      <c r="X185" s="128">
        <v>0</v>
      </c>
      <c r="Y185" s="128">
        <v>0</v>
      </c>
      <c r="Z185" s="128">
        <v>0</v>
      </c>
      <c r="AA185" s="128">
        <v>0</v>
      </c>
      <c r="AB185" s="128">
        <v>0</v>
      </c>
      <c r="AC185" s="128">
        <v>0</v>
      </c>
      <c r="AD185" s="128">
        <v>0</v>
      </c>
      <c r="AE185" s="128">
        <f t="shared" si="226"/>
        <v>5.77</v>
      </c>
      <c r="AF185" s="128">
        <f t="shared" si="161"/>
        <v>21.63</v>
      </c>
      <c r="AG185" s="128">
        <f t="shared" si="162"/>
        <v>22.35</v>
      </c>
      <c r="AH185" s="128">
        <f t="shared" si="163"/>
        <v>21.63</v>
      </c>
      <c r="AI185" s="128">
        <f t="shared" si="164"/>
        <v>22.35</v>
      </c>
      <c r="AJ185" s="128"/>
      <c r="AK185" s="128">
        <v>1316</v>
      </c>
      <c r="AL185" s="128">
        <v>1316</v>
      </c>
      <c r="AM185" s="193">
        <f t="shared" si="165"/>
        <v>22.35</v>
      </c>
      <c r="AN185" s="193">
        <f t="shared" si="166"/>
        <v>20.190000000000001</v>
      </c>
      <c r="AO185" s="193">
        <f t="shared" si="167"/>
        <v>22.35</v>
      </c>
      <c r="AP185" s="193">
        <f t="shared" si="168"/>
        <v>21.63</v>
      </c>
      <c r="AQ185" s="193">
        <f t="shared" si="169"/>
        <v>22.35</v>
      </c>
      <c r="AR185" s="193">
        <f t="shared" si="170"/>
        <v>21.63</v>
      </c>
      <c r="AS185" s="193">
        <f t="shared" si="171"/>
        <v>22.35</v>
      </c>
      <c r="AT185" s="193">
        <f t="shared" si="172"/>
        <v>22.35</v>
      </c>
      <c r="AU185" s="193">
        <f t="shared" si="173"/>
        <v>21.63</v>
      </c>
      <c r="AV185" s="193">
        <f t="shared" si="174"/>
        <v>22.35</v>
      </c>
      <c r="AW185" s="193">
        <f t="shared" si="175"/>
        <v>21.63</v>
      </c>
      <c r="AX185" s="193">
        <f t="shared" si="176"/>
        <v>22.35</v>
      </c>
      <c r="AY185" s="193">
        <f t="shared" si="177"/>
        <v>263.15999999999997</v>
      </c>
      <c r="AZ185" s="193">
        <f t="shared" si="178"/>
        <v>1579.16</v>
      </c>
      <c r="BA185" s="193">
        <f t="shared" si="179"/>
        <v>22.35</v>
      </c>
      <c r="BB185" s="193">
        <f t="shared" si="180"/>
        <v>20.190000000000001</v>
      </c>
      <c r="BC185" s="193">
        <f t="shared" si="181"/>
        <v>22.35</v>
      </c>
      <c r="BD185" s="193">
        <f t="shared" si="182"/>
        <v>21.63</v>
      </c>
      <c r="BE185" s="193">
        <f t="shared" si="183"/>
        <v>22.35</v>
      </c>
      <c r="BF185" s="193">
        <f t="shared" si="184"/>
        <v>21.63</v>
      </c>
      <c r="BG185" s="193">
        <f t="shared" si="185"/>
        <v>22.35</v>
      </c>
      <c r="BH185" s="193">
        <f t="shared" si="186"/>
        <v>22.35</v>
      </c>
      <c r="BI185" s="193">
        <f t="shared" si="187"/>
        <v>21.63</v>
      </c>
      <c r="BJ185" s="193">
        <f t="shared" si="188"/>
        <v>22.35</v>
      </c>
      <c r="BK185" s="193">
        <f t="shared" si="189"/>
        <v>21.63</v>
      </c>
      <c r="BL185" s="193">
        <f t="shared" si="190"/>
        <v>22.35</v>
      </c>
      <c r="BM185" s="193">
        <f t="shared" si="191"/>
        <v>263.15999999999997</v>
      </c>
      <c r="BN185" s="193">
        <f t="shared" si="192"/>
        <v>1842.32</v>
      </c>
      <c r="BO185" s="193">
        <f t="shared" si="193"/>
        <v>22.35</v>
      </c>
      <c r="BP185" s="193">
        <f t="shared" si="194"/>
        <v>20.190000000000001</v>
      </c>
      <c r="BQ185" s="193">
        <f t="shared" si="195"/>
        <v>22.35</v>
      </c>
      <c r="BR185" s="193">
        <f t="shared" si="196"/>
        <v>21.63</v>
      </c>
      <c r="BS185" s="193">
        <f t="shared" si="197"/>
        <v>22.35</v>
      </c>
      <c r="BT185" s="193">
        <f t="shared" si="198"/>
        <v>21.63</v>
      </c>
      <c r="BU185" s="193">
        <f t="shared" si="199"/>
        <v>22.35</v>
      </c>
      <c r="BV185" s="193">
        <f t="shared" si="200"/>
        <v>22.35</v>
      </c>
      <c r="BW185" s="193">
        <f t="shared" si="201"/>
        <v>21.63</v>
      </c>
      <c r="BX185" s="193">
        <f t="shared" si="202"/>
        <v>22.35</v>
      </c>
      <c r="BY185" s="193">
        <f t="shared" si="203"/>
        <v>21.63</v>
      </c>
      <c r="BZ185" s="193">
        <f t="shared" si="204"/>
        <v>22.35</v>
      </c>
      <c r="CA185" s="193">
        <f t="shared" si="205"/>
        <v>263.15999999999997</v>
      </c>
      <c r="CB185" s="193">
        <f t="shared" si="206"/>
        <v>2105.48</v>
      </c>
      <c r="CC185" s="193">
        <f t="shared" si="207"/>
        <v>22.35</v>
      </c>
      <c r="CD185" s="193">
        <f t="shared" si="208"/>
        <v>20.91</v>
      </c>
      <c r="CE185" s="193">
        <f t="shared" si="209"/>
        <v>22.35</v>
      </c>
      <c r="CF185" s="193">
        <f t="shared" si="210"/>
        <v>21.63</v>
      </c>
      <c r="CG185" s="193">
        <f t="shared" si="211"/>
        <v>22.35</v>
      </c>
      <c r="CH185" s="193">
        <f t="shared" si="212"/>
        <v>21.63</v>
      </c>
      <c r="CI185" s="193">
        <f t="shared" si="213"/>
        <v>22.35</v>
      </c>
      <c r="CJ185" s="193">
        <f t="shared" si="214"/>
        <v>22.35</v>
      </c>
      <c r="CK185" s="193">
        <f t="shared" si="215"/>
        <v>21.63</v>
      </c>
      <c r="CL185" s="193">
        <f t="shared" si="216"/>
        <v>22.35</v>
      </c>
      <c r="CM185" s="193">
        <f t="shared" si="217"/>
        <v>21.63</v>
      </c>
      <c r="CN185" s="193">
        <f t="shared" si="218"/>
        <v>22.35</v>
      </c>
      <c r="CO185" s="193">
        <f t="shared" si="219"/>
        <v>263.88</v>
      </c>
      <c r="CP185" s="194">
        <f t="shared" si="220"/>
        <v>2369.36</v>
      </c>
      <c r="CQ185" s="193">
        <f t="shared" si="227"/>
        <v>22.35</v>
      </c>
      <c r="CR185" s="193">
        <f t="shared" si="221"/>
        <v>20.190000000000001</v>
      </c>
      <c r="CS185" s="193">
        <f t="shared" si="228"/>
        <v>22.35</v>
      </c>
      <c r="CT185" s="193">
        <f t="shared" si="229"/>
        <v>21.63</v>
      </c>
      <c r="CU185" s="195">
        <f t="shared" si="230"/>
        <v>22.35</v>
      </c>
      <c r="CV185" s="193">
        <f t="shared" si="231"/>
        <v>21.63</v>
      </c>
      <c r="CW185" s="193">
        <f t="shared" si="222"/>
        <v>22.35</v>
      </c>
      <c r="CX185" s="193">
        <v>16.059999999999999</v>
      </c>
      <c r="CY185" s="193"/>
      <c r="CZ185" s="193"/>
      <c r="DA185" s="193"/>
      <c r="DB185" s="193"/>
      <c r="DC185" s="196">
        <f t="shared" si="223"/>
        <v>168.91</v>
      </c>
      <c r="DD185" s="193">
        <f t="shared" si="224"/>
        <v>2538.27</v>
      </c>
      <c r="DE185" s="193">
        <f t="shared" si="225"/>
        <v>-1076.05</v>
      </c>
    </row>
    <row r="186" spans="2:122" s="197" customFormat="1" ht="158.25" customHeight="1">
      <c r="B186" s="156">
        <v>41173</v>
      </c>
      <c r="C186" s="157" t="s">
        <v>365</v>
      </c>
      <c r="D186" s="198" t="s">
        <v>905</v>
      </c>
      <c r="E186" s="192" t="s">
        <v>133</v>
      </c>
      <c r="F186" s="192" t="s">
        <v>906</v>
      </c>
      <c r="G186" s="128">
        <v>2370</v>
      </c>
      <c r="H186" s="128">
        <f t="shared" si="147"/>
        <v>237</v>
      </c>
      <c r="I186" s="128">
        <f t="shared" si="146"/>
        <v>2133</v>
      </c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>
        <v>0</v>
      </c>
      <c r="W186" s="128"/>
      <c r="X186" s="128"/>
      <c r="Y186" s="128"/>
      <c r="Z186" s="128"/>
      <c r="AA186" s="128"/>
      <c r="AB186" s="128"/>
      <c r="AC186" s="128"/>
      <c r="AD186" s="128"/>
      <c r="AE186" s="128">
        <f>ROUND((H186/5/365*9),2)</f>
        <v>1.17</v>
      </c>
      <c r="AF186" s="128">
        <v>118.04</v>
      </c>
      <c r="AG186" s="128">
        <v>426.58</v>
      </c>
      <c r="AH186" s="128">
        <v>426.58</v>
      </c>
      <c r="AI186" s="128">
        <v>426.58</v>
      </c>
      <c r="AJ186" s="128">
        <v>427.74</v>
      </c>
      <c r="AK186" s="128">
        <v>2133</v>
      </c>
      <c r="AL186" s="128">
        <v>2133</v>
      </c>
      <c r="AM186" s="193">
        <f t="shared" ref="AM186:AM189" si="232">ROUND((H186/5/365*31),2)</f>
        <v>4.03</v>
      </c>
      <c r="AN186" s="193">
        <f t="shared" ref="AN186:AN189" si="233">ROUND((H186/5/365*30),2)</f>
        <v>3.9</v>
      </c>
      <c r="AO186" s="193">
        <f t="shared" ref="AO186:AO189" si="234">ROUND((H186/5/365*31),2)</f>
        <v>4.03</v>
      </c>
      <c r="AP186" s="193">
        <f t="shared" ref="AP186:AP189" si="235">ROUND((H186/5/365*30),2)</f>
        <v>3.9</v>
      </c>
      <c r="AQ186" s="193">
        <f t="shared" ref="AQ186:AQ189" si="236">ROUND((H186/5/365*31),2)</f>
        <v>4.03</v>
      </c>
      <c r="AR186" s="193">
        <f t="shared" ref="AR186:AR189" si="237">ROUND((H186/5/365*31),2)</f>
        <v>4.03</v>
      </c>
      <c r="AS186" s="193">
        <f t="shared" ref="AS186:AS189" si="238">ROUND((H186/5/365*30),2)</f>
        <v>3.9</v>
      </c>
      <c r="AT186" s="193">
        <f t="shared" ref="AT186:AT189" si="239">ROUND((H186/5/365*31),2)</f>
        <v>4.03</v>
      </c>
      <c r="AU186" s="193">
        <f t="shared" ref="AU186:AU189" si="240">ROUND((H186/5/365*30),2)</f>
        <v>3.9</v>
      </c>
      <c r="AV186" s="193">
        <f t="shared" ref="AV186:AV189" si="241">ROUND((H186/5/365*31),2)</f>
        <v>4.03</v>
      </c>
      <c r="AW186" s="193">
        <f t="shared" ref="AW186:AW189" si="242">SUM(AK186:AV186)</f>
        <v>4305.779999999997</v>
      </c>
      <c r="AX186" s="193">
        <f t="shared" ref="AX186:AX189" si="243">ROUND((AJ186+AK186+AL186+AM186+AN186+AO186+AP186+AQ186+AR186+AS186+AT186+AU186+AV186),2)</f>
        <v>4733.5200000000004</v>
      </c>
      <c r="AY186" s="193">
        <f t="shared" ref="AY186:AY189" si="244">ROUND((H186/5/365*31),2)</f>
        <v>4.03</v>
      </c>
      <c r="AZ186" s="193">
        <f t="shared" ref="AZ186:AZ189" si="245">ROUND((H186/5/365*28),2)</f>
        <v>3.64</v>
      </c>
      <c r="BA186" s="193">
        <f t="shared" ref="BA186:BA189" si="246">ROUND((H186/5/365*31),2)</f>
        <v>4.03</v>
      </c>
      <c r="BB186" s="193">
        <f t="shared" ref="BB186:BB189" si="247">ROUND((H186/5/365*30),2)</f>
        <v>3.9</v>
      </c>
      <c r="BC186" s="193">
        <f t="shared" ref="BC186:BC189" si="248">ROUND((H186/5/365*31),2)</f>
        <v>4.03</v>
      </c>
      <c r="BD186" s="193">
        <f t="shared" ref="BD186:BD189" si="249">ROUND((H186/5/365*30),2)</f>
        <v>3.9</v>
      </c>
      <c r="BE186" s="193">
        <f t="shared" ref="BE186:BE189" si="250">ROUND((H186/5/365*31),2)</f>
        <v>4.03</v>
      </c>
      <c r="BF186" s="193">
        <f t="shared" ref="BF186:BF189" si="251">ROUND((H186/5/365*31),2)</f>
        <v>4.03</v>
      </c>
      <c r="BG186" s="193">
        <f t="shared" ref="BG186:BG189" si="252">ROUND((H186/5/365*30),2)</f>
        <v>3.9</v>
      </c>
      <c r="BH186" s="193">
        <f t="shared" ref="BH186:BH189" si="253">ROUND((H186/5/365*31),2)</f>
        <v>4.03</v>
      </c>
      <c r="BI186" s="193">
        <f t="shared" ref="BI186:BI189" si="254">ROUND((H186/5/365*30),2)</f>
        <v>3.9</v>
      </c>
      <c r="BJ186" s="193">
        <f t="shared" ref="BJ186:BJ189" si="255">ROUND((H186/5/365*31),2)</f>
        <v>4.03</v>
      </c>
      <c r="BK186" s="193">
        <f t="shared" ref="BK186:BK189" si="256">SUM(AY186:BJ186)</f>
        <v>47.45</v>
      </c>
      <c r="BL186" s="193">
        <f t="shared" ref="BL186:BL189" si="257">ROUND((AX186+BK186),2)</f>
        <v>4780.97</v>
      </c>
      <c r="BM186" s="193">
        <f t="shared" ref="BM186:BM189" si="258">ROUND((H186/5/365*31),2)</f>
        <v>4.03</v>
      </c>
      <c r="BN186" s="193">
        <f t="shared" ref="BN186:BN189" si="259">ROUND((H186/5/365*28),2)</f>
        <v>3.64</v>
      </c>
      <c r="BO186" s="193">
        <f t="shared" ref="BO186:BO189" si="260">ROUND((H186/5/365*31),2)</f>
        <v>4.03</v>
      </c>
      <c r="BP186" s="193">
        <f t="shared" ref="BP186:BP189" si="261">ROUND((H186/5/365*30),2)</f>
        <v>3.9</v>
      </c>
      <c r="BQ186" s="193">
        <f t="shared" ref="BQ186:BQ189" si="262">ROUND((H186/5/365*31),2)</f>
        <v>4.03</v>
      </c>
      <c r="BR186" s="193">
        <f t="shared" ref="BR186:BR189" si="263">ROUND((H186/5/365*30),2)</f>
        <v>3.9</v>
      </c>
      <c r="BS186" s="193">
        <f t="shared" ref="BS186:BS189" si="264">ROUND((H186/5/365*31),2)</f>
        <v>4.03</v>
      </c>
      <c r="BT186" s="193">
        <f t="shared" ref="BT186:BT189" si="265">ROUND((H186/5/365*31),2)</f>
        <v>4.03</v>
      </c>
      <c r="BU186" s="193">
        <f t="shared" ref="BU186:BU189" si="266">ROUND((H186/5/365*30),2)</f>
        <v>3.9</v>
      </c>
      <c r="BV186" s="193">
        <f t="shared" ref="BV186:BV189" si="267">ROUND((H186/5/365*31),2)</f>
        <v>4.03</v>
      </c>
      <c r="BW186" s="193">
        <f t="shared" ref="BW186:BW189" si="268">ROUND((H186/5/365*30),2)</f>
        <v>3.9</v>
      </c>
      <c r="BX186" s="193">
        <f t="shared" ref="BX186:BX189" si="269">ROUND((H186/5/365*31),2)</f>
        <v>4.03</v>
      </c>
      <c r="BY186" s="193">
        <f t="shared" ref="BY186:BY189" si="270">SUM(BM186:BX186)</f>
        <v>47.45</v>
      </c>
      <c r="BZ186" s="193">
        <f t="shared" ref="BZ186:BZ189" si="271">ROUND((BL186+BY186),2)</f>
        <v>4828.42</v>
      </c>
      <c r="CA186" s="193">
        <f t="shared" ref="CA186:CA189" si="272">ROUND((H186/5/365*31),2)</f>
        <v>4.03</v>
      </c>
      <c r="CB186" s="193">
        <f t="shared" ref="CB186:CB189" si="273">ROUND((H186/5/365*29),2)</f>
        <v>3.77</v>
      </c>
      <c r="CC186" s="193">
        <f t="shared" ref="CC186:CC189" si="274">ROUND((H186/5/365*31),2)</f>
        <v>4.03</v>
      </c>
      <c r="CD186" s="193">
        <f t="shared" ref="CD186:CD189" si="275">ROUND((H186/5/365*30),2)</f>
        <v>3.9</v>
      </c>
      <c r="CE186" s="193">
        <f t="shared" ref="CE186:CE189" si="276">ROUND((H186/5/365*31),2)</f>
        <v>4.03</v>
      </c>
      <c r="CF186" s="193">
        <f t="shared" ref="CF186:CF189" si="277">ROUND((H186/5/365*30),2)</f>
        <v>3.9</v>
      </c>
      <c r="CG186" s="193">
        <f t="shared" ref="CG186:CG189" si="278">ROUND((H186/5/365*31),2)</f>
        <v>4.03</v>
      </c>
      <c r="CH186" s="193">
        <f t="shared" ref="CH186:CH189" si="279">ROUND((H186/5/365*31),2)</f>
        <v>4.03</v>
      </c>
      <c r="CI186" s="193">
        <f t="shared" ref="CI186:CI189" si="280">ROUND((H186/5/365*30),2)</f>
        <v>3.9</v>
      </c>
      <c r="CJ186" s="193">
        <f t="shared" ref="CJ186:CJ189" si="281">ROUND((H186/5/365*31),2)</f>
        <v>4.03</v>
      </c>
      <c r="CK186" s="193">
        <f t="shared" ref="CK186:CK189" si="282">ROUND((H186/5/365*30),2)</f>
        <v>3.9</v>
      </c>
      <c r="CL186" s="193">
        <f t="shared" ref="CL186:CL189" si="283">ROUND((H186/5/365*31),2)</f>
        <v>4.03</v>
      </c>
      <c r="CM186" s="193">
        <f t="shared" ref="CM186:CM189" si="284">SUM(CA186:CL186)</f>
        <v>47.580000000000005</v>
      </c>
      <c r="CN186" s="194">
        <f t="shared" ref="CN186:CN189" si="285">ROUND((BZ186+CM186),2)</f>
        <v>4876</v>
      </c>
      <c r="CO186" s="193">
        <f t="shared" ref="CO186:CO189" si="286">ROUND((H186/5/365*31),2)</f>
        <v>4.03</v>
      </c>
      <c r="CP186" s="193">
        <f t="shared" ref="CP186:CP189" si="287">ROUND((H186/5/365*28),2)</f>
        <v>3.64</v>
      </c>
      <c r="CQ186" s="193">
        <f t="shared" ref="CQ186:CQ189" si="288">ROUND((H186/5/365*31),2)</f>
        <v>4.03</v>
      </c>
      <c r="CR186" s="193">
        <f t="shared" ref="CR186:CR189" si="289">ROUND((H186/5/365*30),2)</f>
        <v>3.9</v>
      </c>
      <c r="CS186" s="195">
        <f t="shared" ref="CS186:CS189" si="290">ROUND((H186/5/365*31),2)</f>
        <v>4.03</v>
      </c>
      <c r="CT186" s="193">
        <f t="shared" ref="CT186:CT189" si="291">ROUND((H186/5/365*30),2)</f>
        <v>3.9</v>
      </c>
      <c r="CU186" s="193">
        <f t="shared" ref="CU186:CU189" si="292">ROUND((H186/5/365*31),2)</f>
        <v>4.03</v>
      </c>
      <c r="CV186" s="193">
        <f t="shared" ref="CV186:CV189" si="293">ROUND((H186/5/365*31),2)</f>
        <v>4.03</v>
      </c>
      <c r="CW186" s="193">
        <v>23.48</v>
      </c>
      <c r="CX186" s="193"/>
      <c r="CY186" s="193"/>
      <c r="CZ186" s="193"/>
      <c r="DA186" s="196">
        <f t="shared" ref="DA186:DA189" si="294">SUM(CO186:CZ186)</f>
        <v>55.07</v>
      </c>
      <c r="DB186" s="193">
        <f>ROUND((CN186+CO186+CP186+CQ186+CR186+CS186+CT186+CU186+CV186+CW186+CX186+CY186+CZ186),2)</f>
        <v>4931.07</v>
      </c>
      <c r="DC186" s="193" t="e">
        <f>SUM(#REF!-DB186)</f>
        <v>#REF!</v>
      </c>
    </row>
    <row r="187" spans="2:122" s="197" customFormat="1" ht="156.75">
      <c r="B187" s="199">
        <v>41173</v>
      </c>
      <c r="C187" s="157" t="s">
        <v>365</v>
      </c>
      <c r="D187" s="198" t="s">
        <v>907</v>
      </c>
      <c r="E187" s="192" t="s">
        <v>353</v>
      </c>
      <c r="F187" s="200">
        <v>2370</v>
      </c>
      <c r="G187" s="128">
        <v>2370</v>
      </c>
      <c r="H187" s="128">
        <f t="shared" si="147"/>
        <v>237</v>
      </c>
      <c r="I187" s="128">
        <f t="shared" si="146"/>
        <v>2133</v>
      </c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  <c r="T187" s="150"/>
      <c r="U187" s="150"/>
      <c r="V187" s="150">
        <v>0</v>
      </c>
      <c r="W187" s="150"/>
      <c r="X187" s="150"/>
      <c r="Y187" s="150"/>
      <c r="Z187" s="150"/>
      <c r="AA187" s="150"/>
      <c r="AB187" s="150"/>
      <c r="AC187" s="150"/>
      <c r="AD187" s="150"/>
      <c r="AE187" s="150">
        <f>ROUND((H187/5/365*9),2)</f>
        <v>1.17</v>
      </c>
      <c r="AF187" s="150">
        <f>ROUND((H187/5/365*31),2)</f>
        <v>4.03</v>
      </c>
      <c r="AG187" s="150">
        <f>ROUND((H187/5/365*30),2)</f>
        <v>3.9</v>
      </c>
      <c r="AH187" s="150">
        <f>ROUND((H187/5/365*31),2)</f>
        <v>4.03</v>
      </c>
      <c r="AI187" s="150"/>
      <c r="AJ187" s="150">
        <f t="shared" ref="AJ187:AJ189" si="295">ROUND((V187+W187+X187+Y187+Z187+AA187+AB187+AC187+AD187+AE187+AF187+AG187+AH187),2)</f>
        <v>13.13</v>
      </c>
      <c r="AK187" s="128">
        <v>2133</v>
      </c>
      <c r="AL187" s="128">
        <v>2133</v>
      </c>
      <c r="AM187" s="193">
        <f t="shared" si="232"/>
        <v>4.03</v>
      </c>
      <c r="AN187" s="193">
        <f t="shared" si="233"/>
        <v>3.9</v>
      </c>
      <c r="AO187" s="193">
        <f t="shared" si="234"/>
        <v>4.03</v>
      </c>
      <c r="AP187" s="193">
        <f t="shared" si="235"/>
        <v>3.9</v>
      </c>
      <c r="AQ187" s="193">
        <f t="shared" si="236"/>
        <v>4.03</v>
      </c>
      <c r="AR187" s="193">
        <f t="shared" si="237"/>
        <v>4.03</v>
      </c>
      <c r="AS187" s="193">
        <f t="shared" si="238"/>
        <v>3.9</v>
      </c>
      <c r="AT187" s="193">
        <f t="shared" si="239"/>
        <v>4.03</v>
      </c>
      <c r="AU187" s="193">
        <f t="shared" si="240"/>
        <v>3.9</v>
      </c>
      <c r="AV187" s="193">
        <f t="shared" si="241"/>
        <v>4.03</v>
      </c>
      <c r="AW187" s="193">
        <f t="shared" si="242"/>
        <v>4305.779999999997</v>
      </c>
      <c r="AX187" s="193">
        <f t="shared" si="243"/>
        <v>4318.91</v>
      </c>
      <c r="AY187" s="193">
        <f t="shared" si="244"/>
        <v>4.03</v>
      </c>
      <c r="AZ187" s="193">
        <f t="shared" si="245"/>
        <v>3.64</v>
      </c>
      <c r="BA187" s="193">
        <f t="shared" si="246"/>
        <v>4.03</v>
      </c>
      <c r="BB187" s="193">
        <f t="shared" si="247"/>
        <v>3.9</v>
      </c>
      <c r="BC187" s="193">
        <f t="shared" si="248"/>
        <v>4.03</v>
      </c>
      <c r="BD187" s="193">
        <f t="shared" si="249"/>
        <v>3.9</v>
      </c>
      <c r="BE187" s="193">
        <f t="shared" si="250"/>
        <v>4.03</v>
      </c>
      <c r="BF187" s="193">
        <f t="shared" si="251"/>
        <v>4.03</v>
      </c>
      <c r="BG187" s="193">
        <f t="shared" si="252"/>
        <v>3.9</v>
      </c>
      <c r="BH187" s="193">
        <f t="shared" si="253"/>
        <v>4.03</v>
      </c>
      <c r="BI187" s="193">
        <f t="shared" si="254"/>
        <v>3.9</v>
      </c>
      <c r="BJ187" s="193">
        <f t="shared" si="255"/>
        <v>4.03</v>
      </c>
      <c r="BK187" s="193">
        <f t="shared" si="256"/>
        <v>47.45</v>
      </c>
      <c r="BL187" s="193">
        <f t="shared" si="257"/>
        <v>4366.3599999999997</v>
      </c>
      <c r="BM187" s="193">
        <f t="shared" si="258"/>
        <v>4.03</v>
      </c>
      <c r="BN187" s="193">
        <f t="shared" si="259"/>
        <v>3.64</v>
      </c>
      <c r="BO187" s="193">
        <f t="shared" si="260"/>
        <v>4.03</v>
      </c>
      <c r="BP187" s="193">
        <f t="shared" si="261"/>
        <v>3.9</v>
      </c>
      <c r="BQ187" s="193">
        <f t="shared" si="262"/>
        <v>4.03</v>
      </c>
      <c r="BR187" s="193">
        <f t="shared" si="263"/>
        <v>3.9</v>
      </c>
      <c r="BS187" s="193">
        <f t="shared" si="264"/>
        <v>4.03</v>
      </c>
      <c r="BT187" s="193">
        <f t="shared" si="265"/>
        <v>4.03</v>
      </c>
      <c r="BU187" s="193">
        <f t="shared" si="266"/>
        <v>3.9</v>
      </c>
      <c r="BV187" s="193">
        <f t="shared" si="267"/>
        <v>4.03</v>
      </c>
      <c r="BW187" s="193">
        <f t="shared" si="268"/>
        <v>3.9</v>
      </c>
      <c r="BX187" s="193">
        <f t="shared" si="269"/>
        <v>4.03</v>
      </c>
      <c r="BY187" s="193">
        <f t="shared" si="270"/>
        <v>47.45</v>
      </c>
      <c r="BZ187" s="193">
        <f t="shared" si="271"/>
        <v>4413.8100000000004</v>
      </c>
      <c r="CA187" s="193">
        <f t="shared" si="272"/>
        <v>4.03</v>
      </c>
      <c r="CB187" s="193">
        <f t="shared" si="273"/>
        <v>3.77</v>
      </c>
      <c r="CC187" s="193">
        <f t="shared" si="274"/>
        <v>4.03</v>
      </c>
      <c r="CD187" s="193">
        <f t="shared" si="275"/>
        <v>3.9</v>
      </c>
      <c r="CE187" s="193">
        <f t="shared" si="276"/>
        <v>4.03</v>
      </c>
      <c r="CF187" s="193">
        <f t="shared" si="277"/>
        <v>3.9</v>
      </c>
      <c r="CG187" s="193">
        <f t="shared" si="278"/>
        <v>4.03</v>
      </c>
      <c r="CH187" s="193">
        <f t="shared" si="279"/>
        <v>4.03</v>
      </c>
      <c r="CI187" s="193">
        <f t="shared" si="280"/>
        <v>3.9</v>
      </c>
      <c r="CJ187" s="193">
        <f t="shared" si="281"/>
        <v>4.03</v>
      </c>
      <c r="CK187" s="193">
        <f t="shared" si="282"/>
        <v>3.9</v>
      </c>
      <c r="CL187" s="193">
        <f t="shared" si="283"/>
        <v>4.03</v>
      </c>
      <c r="CM187" s="193">
        <f t="shared" si="284"/>
        <v>47.580000000000005</v>
      </c>
      <c r="CN187" s="194">
        <f t="shared" si="285"/>
        <v>4461.3900000000003</v>
      </c>
      <c r="CO187" s="193">
        <f t="shared" si="286"/>
        <v>4.03</v>
      </c>
      <c r="CP187" s="193">
        <f t="shared" si="287"/>
        <v>3.64</v>
      </c>
      <c r="CQ187" s="193">
        <f t="shared" si="288"/>
        <v>4.03</v>
      </c>
      <c r="CR187" s="193">
        <f t="shared" si="289"/>
        <v>3.9</v>
      </c>
      <c r="CS187" s="195">
        <f t="shared" si="290"/>
        <v>4.03</v>
      </c>
      <c r="CT187" s="193">
        <f t="shared" si="291"/>
        <v>3.9</v>
      </c>
      <c r="CU187" s="193">
        <f t="shared" si="292"/>
        <v>4.03</v>
      </c>
      <c r="CV187" s="193">
        <f t="shared" si="293"/>
        <v>4.03</v>
      </c>
      <c r="CW187" s="193">
        <v>23.48</v>
      </c>
      <c r="CX187" s="193"/>
      <c r="CY187" s="193"/>
      <c r="CZ187" s="193"/>
      <c r="DA187" s="196">
        <f t="shared" si="294"/>
        <v>55.07</v>
      </c>
      <c r="DB187" s="193">
        <f t="shared" ref="DB187:DB189" si="296">ROUND((CN187+CO187+CP187+CQ187+CR187+CS187+CT187+CU187+CV187+CW187+CX187+CY187+CZ187),2)</f>
        <v>4516.46</v>
      </c>
      <c r="DC187" s="193">
        <f t="shared" ref="DC187:DC189" si="297">SUM(F187-DB187)</f>
        <v>-2146.46</v>
      </c>
    </row>
    <row r="188" spans="2:122" s="197" customFormat="1" ht="157.5" customHeight="1">
      <c r="B188" s="156">
        <v>41173</v>
      </c>
      <c r="C188" s="157" t="s">
        <v>365</v>
      </c>
      <c r="D188" s="198" t="s">
        <v>908</v>
      </c>
      <c r="E188" s="192" t="s">
        <v>819</v>
      </c>
      <c r="F188" s="201">
        <v>2370</v>
      </c>
      <c r="G188" s="128">
        <v>2370</v>
      </c>
      <c r="H188" s="128">
        <f t="shared" si="147"/>
        <v>237</v>
      </c>
      <c r="I188" s="128">
        <f t="shared" si="146"/>
        <v>2133</v>
      </c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>
        <v>0</v>
      </c>
      <c r="W188" s="128"/>
      <c r="X188" s="128"/>
      <c r="Y188" s="128"/>
      <c r="Z188" s="128"/>
      <c r="AA188" s="128"/>
      <c r="AB188" s="128"/>
      <c r="AC188" s="128"/>
      <c r="AD188" s="128"/>
      <c r="AE188" s="128">
        <f>ROUND((H188/5/365*9),2)</f>
        <v>1.17</v>
      </c>
      <c r="AF188" s="128">
        <f>ROUND((H188/5/365*31),2)</f>
        <v>4.03</v>
      </c>
      <c r="AG188" s="128">
        <f>ROUND((H188/5/365*30),2)</f>
        <v>3.9</v>
      </c>
      <c r="AH188" s="128">
        <f>ROUND((H188/5/365*31),2)</f>
        <v>4.03</v>
      </c>
      <c r="AI188" s="128">
        <f t="shared" ref="AI188:AI189" si="298">SUM(W188:AH188)</f>
        <v>13.129999999999999</v>
      </c>
      <c r="AJ188" s="128">
        <f t="shared" si="295"/>
        <v>13.13</v>
      </c>
      <c r="AK188" s="128">
        <v>2133</v>
      </c>
      <c r="AL188" s="128">
        <v>2133</v>
      </c>
      <c r="AM188" s="193">
        <f t="shared" si="232"/>
        <v>4.03</v>
      </c>
      <c r="AN188" s="193">
        <f t="shared" si="233"/>
        <v>3.9</v>
      </c>
      <c r="AO188" s="193">
        <f t="shared" si="234"/>
        <v>4.03</v>
      </c>
      <c r="AP188" s="193">
        <f t="shared" si="235"/>
        <v>3.9</v>
      </c>
      <c r="AQ188" s="193">
        <f t="shared" si="236"/>
        <v>4.03</v>
      </c>
      <c r="AR188" s="193">
        <f t="shared" si="237"/>
        <v>4.03</v>
      </c>
      <c r="AS188" s="193">
        <f t="shared" si="238"/>
        <v>3.9</v>
      </c>
      <c r="AT188" s="193">
        <f t="shared" si="239"/>
        <v>4.03</v>
      </c>
      <c r="AU188" s="193">
        <f t="shared" si="240"/>
        <v>3.9</v>
      </c>
      <c r="AV188" s="193">
        <f t="shared" si="241"/>
        <v>4.03</v>
      </c>
      <c r="AW188" s="193">
        <f t="shared" si="242"/>
        <v>4305.779999999997</v>
      </c>
      <c r="AX188" s="193">
        <f t="shared" si="243"/>
        <v>4318.91</v>
      </c>
      <c r="AY188" s="193">
        <f t="shared" si="244"/>
        <v>4.03</v>
      </c>
      <c r="AZ188" s="193">
        <f t="shared" si="245"/>
        <v>3.64</v>
      </c>
      <c r="BA188" s="193">
        <f t="shared" si="246"/>
        <v>4.03</v>
      </c>
      <c r="BB188" s="193">
        <f t="shared" si="247"/>
        <v>3.9</v>
      </c>
      <c r="BC188" s="193">
        <f t="shared" si="248"/>
        <v>4.03</v>
      </c>
      <c r="BD188" s="193">
        <f t="shared" si="249"/>
        <v>3.9</v>
      </c>
      <c r="BE188" s="193">
        <f t="shared" si="250"/>
        <v>4.03</v>
      </c>
      <c r="BF188" s="193">
        <f t="shared" si="251"/>
        <v>4.03</v>
      </c>
      <c r="BG188" s="193">
        <f t="shared" si="252"/>
        <v>3.9</v>
      </c>
      <c r="BH188" s="193">
        <f t="shared" si="253"/>
        <v>4.03</v>
      </c>
      <c r="BI188" s="193">
        <f t="shared" si="254"/>
        <v>3.9</v>
      </c>
      <c r="BJ188" s="193">
        <f t="shared" si="255"/>
        <v>4.03</v>
      </c>
      <c r="BK188" s="193">
        <f t="shared" si="256"/>
        <v>47.45</v>
      </c>
      <c r="BL188" s="193">
        <f t="shared" si="257"/>
        <v>4366.3599999999997</v>
      </c>
      <c r="BM188" s="193">
        <f t="shared" si="258"/>
        <v>4.03</v>
      </c>
      <c r="BN188" s="193">
        <f t="shared" si="259"/>
        <v>3.64</v>
      </c>
      <c r="BO188" s="193">
        <f t="shared" si="260"/>
        <v>4.03</v>
      </c>
      <c r="BP188" s="193">
        <f t="shared" si="261"/>
        <v>3.9</v>
      </c>
      <c r="BQ188" s="193">
        <f t="shared" si="262"/>
        <v>4.03</v>
      </c>
      <c r="BR188" s="193">
        <f t="shared" si="263"/>
        <v>3.9</v>
      </c>
      <c r="BS188" s="193">
        <f t="shared" si="264"/>
        <v>4.03</v>
      </c>
      <c r="BT188" s="193">
        <f t="shared" si="265"/>
        <v>4.03</v>
      </c>
      <c r="BU188" s="193">
        <f t="shared" si="266"/>
        <v>3.9</v>
      </c>
      <c r="BV188" s="193">
        <f t="shared" si="267"/>
        <v>4.03</v>
      </c>
      <c r="BW188" s="193">
        <f t="shared" si="268"/>
        <v>3.9</v>
      </c>
      <c r="BX188" s="193">
        <f t="shared" si="269"/>
        <v>4.03</v>
      </c>
      <c r="BY188" s="193">
        <f t="shared" si="270"/>
        <v>47.45</v>
      </c>
      <c r="BZ188" s="193">
        <f t="shared" si="271"/>
        <v>4413.8100000000004</v>
      </c>
      <c r="CA188" s="193">
        <f t="shared" si="272"/>
        <v>4.03</v>
      </c>
      <c r="CB188" s="193">
        <f t="shared" si="273"/>
        <v>3.77</v>
      </c>
      <c r="CC188" s="193">
        <f t="shared" si="274"/>
        <v>4.03</v>
      </c>
      <c r="CD188" s="193">
        <f t="shared" si="275"/>
        <v>3.9</v>
      </c>
      <c r="CE188" s="193">
        <f t="shared" si="276"/>
        <v>4.03</v>
      </c>
      <c r="CF188" s="193">
        <f t="shared" si="277"/>
        <v>3.9</v>
      </c>
      <c r="CG188" s="193">
        <f t="shared" si="278"/>
        <v>4.03</v>
      </c>
      <c r="CH188" s="193">
        <f t="shared" si="279"/>
        <v>4.03</v>
      </c>
      <c r="CI188" s="193">
        <f t="shared" si="280"/>
        <v>3.9</v>
      </c>
      <c r="CJ188" s="193">
        <f t="shared" si="281"/>
        <v>4.03</v>
      </c>
      <c r="CK188" s="193">
        <f t="shared" si="282"/>
        <v>3.9</v>
      </c>
      <c r="CL188" s="193">
        <f t="shared" si="283"/>
        <v>4.03</v>
      </c>
      <c r="CM188" s="193">
        <f t="shared" si="284"/>
        <v>47.580000000000005</v>
      </c>
      <c r="CN188" s="194">
        <f t="shared" si="285"/>
        <v>4461.3900000000003</v>
      </c>
      <c r="CO188" s="193">
        <f t="shared" si="286"/>
        <v>4.03</v>
      </c>
      <c r="CP188" s="193">
        <f t="shared" si="287"/>
        <v>3.64</v>
      </c>
      <c r="CQ188" s="193">
        <f t="shared" si="288"/>
        <v>4.03</v>
      </c>
      <c r="CR188" s="193">
        <f t="shared" si="289"/>
        <v>3.9</v>
      </c>
      <c r="CS188" s="195">
        <f t="shared" si="290"/>
        <v>4.03</v>
      </c>
      <c r="CT188" s="193">
        <f t="shared" si="291"/>
        <v>3.9</v>
      </c>
      <c r="CU188" s="193">
        <f t="shared" si="292"/>
        <v>4.03</v>
      </c>
      <c r="CV188" s="193">
        <f t="shared" si="293"/>
        <v>4.03</v>
      </c>
      <c r="CW188" s="193">
        <v>23.48</v>
      </c>
      <c r="CX188" s="193"/>
      <c r="CY188" s="193"/>
      <c r="CZ188" s="193"/>
      <c r="DA188" s="196">
        <f t="shared" si="294"/>
        <v>55.07</v>
      </c>
      <c r="DB188" s="193">
        <f t="shared" si="296"/>
        <v>4516.46</v>
      </c>
      <c r="DC188" s="193">
        <f t="shared" si="297"/>
        <v>-2146.46</v>
      </c>
    </row>
    <row r="189" spans="2:122" s="197" customFormat="1" ht="159" customHeight="1">
      <c r="B189" s="156">
        <v>41173</v>
      </c>
      <c r="C189" s="157" t="s">
        <v>365</v>
      </c>
      <c r="D189" s="198" t="s">
        <v>909</v>
      </c>
      <c r="E189" s="192" t="s">
        <v>105</v>
      </c>
      <c r="F189" s="201">
        <v>2370</v>
      </c>
      <c r="G189" s="128">
        <v>2370</v>
      </c>
      <c r="H189" s="128">
        <f t="shared" si="147"/>
        <v>237</v>
      </c>
      <c r="I189" s="128">
        <f t="shared" si="146"/>
        <v>2133</v>
      </c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>
        <v>0</v>
      </c>
      <c r="W189" s="128"/>
      <c r="X189" s="128"/>
      <c r="Y189" s="128"/>
      <c r="Z189" s="128"/>
      <c r="AA189" s="128"/>
      <c r="AB189" s="128"/>
      <c r="AC189" s="128"/>
      <c r="AD189" s="128"/>
      <c r="AE189" s="128">
        <f>ROUND((H189/5/365*9),2)</f>
        <v>1.17</v>
      </c>
      <c r="AF189" s="128">
        <f>ROUND((H189/5/365*31),2)</f>
        <v>4.03</v>
      </c>
      <c r="AG189" s="128">
        <f>ROUND((H189/5/365*30),2)</f>
        <v>3.9</v>
      </c>
      <c r="AH189" s="128">
        <f>ROUND((H189/5/365*31),2)</f>
        <v>4.03</v>
      </c>
      <c r="AI189" s="128">
        <f t="shared" si="298"/>
        <v>13.129999999999999</v>
      </c>
      <c r="AJ189" s="128">
        <f t="shared" si="295"/>
        <v>13.13</v>
      </c>
      <c r="AK189" s="128">
        <v>2133</v>
      </c>
      <c r="AL189" s="128">
        <v>2133</v>
      </c>
      <c r="AM189" s="193">
        <f t="shared" si="232"/>
        <v>4.03</v>
      </c>
      <c r="AN189" s="193">
        <f t="shared" si="233"/>
        <v>3.9</v>
      </c>
      <c r="AO189" s="193">
        <f t="shared" si="234"/>
        <v>4.03</v>
      </c>
      <c r="AP189" s="193">
        <f t="shared" si="235"/>
        <v>3.9</v>
      </c>
      <c r="AQ189" s="193">
        <f t="shared" si="236"/>
        <v>4.03</v>
      </c>
      <c r="AR189" s="193">
        <f t="shared" si="237"/>
        <v>4.03</v>
      </c>
      <c r="AS189" s="193">
        <f t="shared" si="238"/>
        <v>3.9</v>
      </c>
      <c r="AT189" s="193">
        <f t="shared" si="239"/>
        <v>4.03</v>
      </c>
      <c r="AU189" s="193">
        <f t="shared" si="240"/>
        <v>3.9</v>
      </c>
      <c r="AV189" s="193">
        <f t="shared" si="241"/>
        <v>4.03</v>
      </c>
      <c r="AW189" s="193">
        <f t="shared" si="242"/>
        <v>4305.779999999997</v>
      </c>
      <c r="AX189" s="193">
        <f t="shared" si="243"/>
        <v>4318.91</v>
      </c>
      <c r="AY189" s="193">
        <f t="shared" si="244"/>
        <v>4.03</v>
      </c>
      <c r="AZ189" s="193">
        <f t="shared" si="245"/>
        <v>3.64</v>
      </c>
      <c r="BA189" s="193">
        <f t="shared" si="246"/>
        <v>4.03</v>
      </c>
      <c r="BB189" s="193">
        <f t="shared" si="247"/>
        <v>3.9</v>
      </c>
      <c r="BC189" s="193">
        <f t="shared" si="248"/>
        <v>4.03</v>
      </c>
      <c r="BD189" s="193">
        <f t="shared" si="249"/>
        <v>3.9</v>
      </c>
      <c r="BE189" s="193">
        <f t="shared" si="250"/>
        <v>4.03</v>
      </c>
      <c r="BF189" s="193">
        <f t="shared" si="251"/>
        <v>4.03</v>
      </c>
      <c r="BG189" s="193">
        <f t="shared" si="252"/>
        <v>3.9</v>
      </c>
      <c r="BH189" s="193">
        <f t="shared" si="253"/>
        <v>4.03</v>
      </c>
      <c r="BI189" s="193">
        <f t="shared" si="254"/>
        <v>3.9</v>
      </c>
      <c r="BJ189" s="193">
        <f t="shared" si="255"/>
        <v>4.03</v>
      </c>
      <c r="BK189" s="193">
        <f t="shared" si="256"/>
        <v>47.45</v>
      </c>
      <c r="BL189" s="193">
        <f t="shared" si="257"/>
        <v>4366.3599999999997</v>
      </c>
      <c r="BM189" s="193">
        <f t="shared" si="258"/>
        <v>4.03</v>
      </c>
      <c r="BN189" s="193">
        <f t="shared" si="259"/>
        <v>3.64</v>
      </c>
      <c r="BO189" s="193">
        <f t="shared" si="260"/>
        <v>4.03</v>
      </c>
      <c r="BP189" s="193">
        <f t="shared" si="261"/>
        <v>3.9</v>
      </c>
      <c r="BQ189" s="193">
        <f t="shared" si="262"/>
        <v>4.03</v>
      </c>
      <c r="BR189" s="193">
        <f t="shared" si="263"/>
        <v>3.9</v>
      </c>
      <c r="BS189" s="193">
        <f t="shared" si="264"/>
        <v>4.03</v>
      </c>
      <c r="BT189" s="193">
        <f t="shared" si="265"/>
        <v>4.03</v>
      </c>
      <c r="BU189" s="193">
        <f t="shared" si="266"/>
        <v>3.9</v>
      </c>
      <c r="BV189" s="193">
        <f t="shared" si="267"/>
        <v>4.03</v>
      </c>
      <c r="BW189" s="193">
        <f t="shared" si="268"/>
        <v>3.9</v>
      </c>
      <c r="BX189" s="193">
        <f t="shared" si="269"/>
        <v>4.03</v>
      </c>
      <c r="BY189" s="193">
        <f t="shared" si="270"/>
        <v>47.45</v>
      </c>
      <c r="BZ189" s="193">
        <f t="shared" si="271"/>
        <v>4413.8100000000004</v>
      </c>
      <c r="CA189" s="193">
        <f t="shared" si="272"/>
        <v>4.03</v>
      </c>
      <c r="CB189" s="193">
        <f t="shared" si="273"/>
        <v>3.77</v>
      </c>
      <c r="CC189" s="193">
        <f t="shared" si="274"/>
        <v>4.03</v>
      </c>
      <c r="CD189" s="193">
        <f t="shared" si="275"/>
        <v>3.9</v>
      </c>
      <c r="CE189" s="193">
        <f t="shared" si="276"/>
        <v>4.03</v>
      </c>
      <c r="CF189" s="193">
        <f t="shared" si="277"/>
        <v>3.9</v>
      </c>
      <c r="CG189" s="193">
        <f t="shared" si="278"/>
        <v>4.03</v>
      </c>
      <c r="CH189" s="193">
        <f t="shared" si="279"/>
        <v>4.03</v>
      </c>
      <c r="CI189" s="193">
        <f t="shared" si="280"/>
        <v>3.9</v>
      </c>
      <c r="CJ189" s="193">
        <f t="shared" si="281"/>
        <v>4.03</v>
      </c>
      <c r="CK189" s="193">
        <f t="shared" si="282"/>
        <v>3.9</v>
      </c>
      <c r="CL189" s="193">
        <f t="shared" si="283"/>
        <v>4.03</v>
      </c>
      <c r="CM189" s="193">
        <f t="shared" si="284"/>
        <v>47.580000000000005</v>
      </c>
      <c r="CN189" s="194">
        <f t="shared" si="285"/>
        <v>4461.3900000000003</v>
      </c>
      <c r="CO189" s="193">
        <f t="shared" si="286"/>
        <v>4.03</v>
      </c>
      <c r="CP189" s="193">
        <f t="shared" si="287"/>
        <v>3.64</v>
      </c>
      <c r="CQ189" s="193">
        <f t="shared" si="288"/>
        <v>4.03</v>
      </c>
      <c r="CR189" s="193">
        <f t="shared" si="289"/>
        <v>3.9</v>
      </c>
      <c r="CS189" s="195">
        <f t="shared" si="290"/>
        <v>4.03</v>
      </c>
      <c r="CT189" s="193">
        <f t="shared" si="291"/>
        <v>3.9</v>
      </c>
      <c r="CU189" s="193">
        <f t="shared" si="292"/>
        <v>4.03</v>
      </c>
      <c r="CV189" s="193">
        <f t="shared" si="293"/>
        <v>4.03</v>
      </c>
      <c r="CW189" s="193">
        <v>23.48</v>
      </c>
      <c r="CX189" s="193"/>
      <c r="CY189" s="193"/>
      <c r="CZ189" s="193"/>
      <c r="DA189" s="196">
        <f t="shared" si="294"/>
        <v>55.07</v>
      </c>
      <c r="DB189" s="193">
        <f t="shared" si="296"/>
        <v>4516.46</v>
      </c>
      <c r="DC189" s="193">
        <f t="shared" si="297"/>
        <v>-2146.46</v>
      </c>
    </row>
    <row r="190" spans="2:122" s="197" customFormat="1" ht="35.1" customHeight="1">
      <c r="B190" s="178">
        <v>41261</v>
      </c>
      <c r="C190" s="36" t="s">
        <v>249</v>
      </c>
      <c r="D190" s="36" t="s">
        <v>910</v>
      </c>
      <c r="E190" s="202" t="s">
        <v>200</v>
      </c>
      <c r="F190" s="203" t="s">
        <v>911</v>
      </c>
      <c r="G190" s="86">
        <v>1155</v>
      </c>
      <c r="H190" s="86">
        <f t="shared" si="147"/>
        <v>115.5</v>
      </c>
      <c r="I190" s="86">
        <f t="shared" si="146"/>
        <v>1039.5</v>
      </c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>
        <f t="shared" ref="W190:W196" si="299">O190+P190+Q190+R190+S190+T190+U190+V190</f>
        <v>0</v>
      </c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>
        <f t="shared" ref="AI190:AI195" si="300">ROUND((I190/5/365*13),2)</f>
        <v>7.4</v>
      </c>
      <c r="AJ190" s="86">
        <f t="shared" ref="AJ190:AJ196" si="301">SUM(X190:AI190)</f>
        <v>7.4</v>
      </c>
      <c r="AK190" s="86">
        <v>1039.5</v>
      </c>
      <c r="AL190" s="86">
        <v>1039.5</v>
      </c>
      <c r="AM190" s="175">
        <f t="shared" ref="AM190:AM196" si="302">ROUND((I190/5/365*28),2)</f>
        <v>15.95</v>
      </c>
      <c r="AN190" s="175">
        <f t="shared" ref="AN190:AN196" si="303">ROUND((I190/5/365*31),2)</f>
        <v>17.66</v>
      </c>
      <c r="AO190" s="175">
        <f t="shared" ref="AO190:AO196" si="304">ROUND((I190/5/365*30),2)</f>
        <v>17.09</v>
      </c>
      <c r="AP190" s="175">
        <f t="shared" ref="AP190:AP196" si="305">ROUND((I190/5/365*31),2)</f>
        <v>17.66</v>
      </c>
      <c r="AQ190" s="175">
        <f t="shared" ref="AQ190:AQ196" si="306">ROUND((I190/5/365*30),2)</f>
        <v>17.09</v>
      </c>
      <c r="AR190" s="175">
        <f t="shared" ref="AR190:AR196" si="307">ROUND((I190/5/365*31),2)</f>
        <v>17.66</v>
      </c>
      <c r="AS190" s="175">
        <f t="shared" ref="AS190:AS196" si="308">ROUND((I190/5/365*31),2)</f>
        <v>17.66</v>
      </c>
      <c r="AT190" s="175">
        <f t="shared" ref="AT190:AT196" si="309">ROUND((I190/5/365*30),2)</f>
        <v>17.09</v>
      </c>
      <c r="AU190" s="175">
        <f t="shared" ref="AU190:AU196" si="310">ROUND((I190/5/365*31),2)</f>
        <v>17.66</v>
      </c>
      <c r="AV190" s="175">
        <f t="shared" ref="AV190:AV196" si="311">ROUND((I190/5/365*30),2)</f>
        <v>17.09</v>
      </c>
      <c r="AW190" s="175">
        <f t="shared" ref="AW190:AW196" si="312">ROUND((I190/5/365*31),2)</f>
        <v>17.66</v>
      </c>
      <c r="AX190" s="175">
        <f t="shared" ref="AX190:AX196" si="313">SUM(AL190:AW190)</f>
        <v>1229.7700000000002</v>
      </c>
      <c r="AY190" s="175">
        <f t="shared" ref="AY190:AY196" si="314">ROUND((AK190+AL190+AM190+AN190+AO190+AP190+AQ190+AR190+AS190+AT190+AU190+AV190+AW190),2)</f>
        <v>2269.27</v>
      </c>
      <c r="AZ190" s="175">
        <f t="shared" ref="AZ190:AZ196" si="315">ROUND((I190/5/365*31),2)</f>
        <v>17.66</v>
      </c>
      <c r="BA190" s="175">
        <f t="shared" ref="BA190:BA196" si="316">ROUND((I190/5/365*28),2)</f>
        <v>15.95</v>
      </c>
      <c r="BB190" s="175">
        <f t="shared" ref="BB190:BB196" si="317">ROUND((I190/5/365*31),2)</f>
        <v>17.66</v>
      </c>
      <c r="BC190" s="175">
        <f t="shared" ref="BC190:BC196" si="318">ROUND((I190/5/365*30),2)</f>
        <v>17.09</v>
      </c>
      <c r="BD190" s="175">
        <f t="shared" ref="BD190:BD196" si="319">ROUND((I190/5/365*31),2)</f>
        <v>17.66</v>
      </c>
      <c r="BE190" s="175">
        <f t="shared" ref="BE190:BE196" si="320">ROUND((I190/5/365*30),2)</f>
        <v>17.09</v>
      </c>
      <c r="BF190" s="175">
        <f t="shared" ref="BF190:BF196" si="321">ROUND((I190/5/365*31),2)</f>
        <v>17.66</v>
      </c>
      <c r="BG190" s="175">
        <f t="shared" ref="BG190:BG196" si="322">ROUND((I190/5/365*31),2)</f>
        <v>17.66</v>
      </c>
      <c r="BH190" s="175">
        <f t="shared" ref="BH190:BH196" si="323">ROUND((I190/5/365*30),2)</f>
        <v>17.09</v>
      </c>
      <c r="BI190" s="175">
        <f t="shared" ref="BI190:BI196" si="324">ROUND((I190/5/365*31),2)</f>
        <v>17.66</v>
      </c>
      <c r="BJ190" s="175">
        <f t="shared" ref="BJ190:BJ196" si="325">ROUND((I190/5/365*30),2)</f>
        <v>17.09</v>
      </c>
      <c r="BK190" s="175">
        <f t="shared" ref="BK190:BK196" si="326">ROUND((I190/5/365*31),2)</f>
        <v>17.66</v>
      </c>
      <c r="BL190" s="175">
        <f t="shared" ref="BL190:BL196" si="327">SUM(AZ190:BK190)</f>
        <v>207.93</v>
      </c>
      <c r="BM190" s="175">
        <f t="shared" ref="BM190:BM196" si="328">ROUND((AY190+BL190),2)</f>
        <v>2477.1999999999998</v>
      </c>
      <c r="BN190" s="175">
        <f t="shared" ref="BN190:BN196" si="329">ROUND((I190/5/365*31),2)</f>
        <v>17.66</v>
      </c>
      <c r="BO190" s="175">
        <f t="shared" ref="BO190:BO196" si="330">ROUND((I190/5/365*28),2)</f>
        <v>15.95</v>
      </c>
      <c r="BP190" s="175">
        <f t="shared" ref="BP190:BP196" si="331">ROUND((I190/5/365*31),2)</f>
        <v>17.66</v>
      </c>
      <c r="BQ190" s="175">
        <f t="shared" ref="BQ190:BQ196" si="332">ROUND((I190/5/365*30),2)</f>
        <v>17.09</v>
      </c>
      <c r="BR190" s="175">
        <f t="shared" ref="BR190:BR196" si="333">ROUND((I190/5/365*31),2)</f>
        <v>17.66</v>
      </c>
      <c r="BS190" s="175">
        <f t="shared" ref="BS190:BS196" si="334">ROUND((I190/5/365*30),2)</f>
        <v>17.09</v>
      </c>
      <c r="BT190" s="175">
        <f t="shared" ref="BT190:BT196" si="335">ROUND((I190/5/365*31),2)</f>
        <v>17.66</v>
      </c>
      <c r="BU190" s="175">
        <f t="shared" ref="BU190:BU196" si="336">ROUND((I190/5/365*31),2)</f>
        <v>17.66</v>
      </c>
      <c r="BV190" s="175">
        <f t="shared" ref="BV190:BV196" si="337">ROUND((I190/5/365*30),2)</f>
        <v>17.09</v>
      </c>
      <c r="BW190" s="175">
        <f t="shared" ref="BW190:BW196" si="338">ROUND((I190/5/365*31),2)</f>
        <v>17.66</v>
      </c>
      <c r="BX190" s="175">
        <f t="shared" ref="BX190:BX196" si="339">ROUND((I190/5/365*30),2)</f>
        <v>17.09</v>
      </c>
      <c r="BY190" s="175">
        <f t="shared" ref="BY190:BY196" si="340">ROUND((I190/5/365*31),2)</f>
        <v>17.66</v>
      </c>
      <c r="BZ190" s="175">
        <f t="shared" ref="BZ190:BZ196" si="341">SUM(BN190:BY190)</f>
        <v>207.93</v>
      </c>
      <c r="CA190" s="175">
        <f t="shared" ref="CA190:CA196" si="342">ROUND((BM190+BZ190),2)</f>
        <v>2685.13</v>
      </c>
      <c r="CB190" s="175">
        <f t="shared" ref="CB190:CB196" si="343">ROUND((I190/5/365*31),2)</f>
        <v>17.66</v>
      </c>
      <c r="CC190" s="175">
        <f t="shared" ref="CC190:CC196" si="344">ROUND((I190/5/365*29),2)</f>
        <v>16.52</v>
      </c>
      <c r="CD190" s="175">
        <f t="shared" ref="CD190:CD196" si="345">ROUND((I190/5/365*31),2)</f>
        <v>17.66</v>
      </c>
      <c r="CE190" s="175">
        <f t="shared" ref="CE190:CE196" si="346">ROUND((I190/5/365*30),2)</f>
        <v>17.09</v>
      </c>
      <c r="CF190" s="175">
        <f t="shared" ref="CF190:CF196" si="347">ROUND((I190/5/365*31),2)</f>
        <v>17.66</v>
      </c>
      <c r="CG190" s="175">
        <f t="shared" ref="CG190:CG196" si="348">ROUND((I190/5/365*30),2)</f>
        <v>17.09</v>
      </c>
      <c r="CH190" s="175">
        <f t="shared" ref="CH190:CH196" si="349">ROUND((I190/5/365*31),2)</f>
        <v>17.66</v>
      </c>
      <c r="CI190" s="175">
        <f t="shared" ref="CI190:CI196" si="350">ROUND((I190/5/365*31),2)</f>
        <v>17.66</v>
      </c>
      <c r="CJ190" s="175">
        <f t="shared" ref="CJ190:CJ196" si="351">ROUND((I190/5/365*30),2)</f>
        <v>17.09</v>
      </c>
      <c r="CK190" s="175">
        <f t="shared" ref="CK190:CK196" si="352">ROUND((I190/5/365*31),2)</f>
        <v>17.66</v>
      </c>
      <c r="CL190" s="175">
        <f t="shared" ref="CL190:CL196" si="353">ROUND((I190/5/365*30),2)</f>
        <v>17.09</v>
      </c>
      <c r="CM190" s="175">
        <f t="shared" ref="CM190:CM196" si="354">ROUND((I190/5/365*31),2)</f>
        <v>17.66</v>
      </c>
      <c r="CN190" s="175">
        <f t="shared" ref="CN190:CN196" si="355">SUM(CB190:CM190)</f>
        <v>208.5</v>
      </c>
      <c r="CO190" s="176">
        <f t="shared" ref="CO190:CO196" si="356">ROUND((CA190+CN190),2)</f>
        <v>2893.63</v>
      </c>
      <c r="CP190" s="175">
        <f t="shared" ref="CP190:CP196" si="357">ROUND((I190/5/365*31),2)</f>
        <v>17.66</v>
      </c>
      <c r="CQ190" s="175">
        <f t="shared" ref="CQ190:CQ196" si="358">ROUND((I190/5/365*28),2)</f>
        <v>15.95</v>
      </c>
      <c r="CR190" s="175">
        <f t="shared" ref="CR190:CR196" si="359">ROUND((I190/5/365*31),2)</f>
        <v>17.66</v>
      </c>
      <c r="CS190" s="175">
        <f t="shared" ref="CS190:CS196" si="360">ROUND((I190/5/365*30),2)</f>
        <v>17.09</v>
      </c>
      <c r="CT190" s="177">
        <f t="shared" ref="CT190:CT196" si="361">ROUND((I190/5/365*31),2)</f>
        <v>17.66</v>
      </c>
      <c r="CU190" s="175">
        <f t="shared" ref="CU190:CU196" si="362">ROUND((I190/5/365*30),2)</f>
        <v>17.09</v>
      </c>
      <c r="CV190" s="175">
        <f t="shared" ref="CV190:CV196" si="363">ROUND((I190/5/365*31),2)</f>
        <v>17.66</v>
      </c>
      <c r="CW190" s="175">
        <f t="shared" ref="CW190:CW196" si="364">ROUND((I190/5/365*31),2)</f>
        <v>17.66</v>
      </c>
      <c r="CX190" s="175">
        <f t="shared" ref="CX190:CX196" si="365">ROUND((I190/5/365*30),2)</f>
        <v>17.09</v>
      </c>
      <c r="CY190" s="175">
        <f t="shared" ref="CY190:CY196" si="366">ROUND((I190/5/365*31),2)</f>
        <v>17.66</v>
      </c>
      <c r="CZ190" s="175">
        <f t="shared" ref="CZ190:CZ196" si="367">ROUND((I190/5/365*30),2)</f>
        <v>17.09</v>
      </c>
      <c r="DA190" s="175">
        <v>9.5399999999999991</v>
      </c>
      <c r="DB190" s="176">
        <f t="shared" ref="DB190:DB196" si="368">SUM(CP190:DA190)</f>
        <v>199.81</v>
      </c>
      <c r="DC190" s="176">
        <f t="shared" ref="DC190:DC196" si="369">ROUND((CO190+DB190),2)</f>
        <v>3093.44</v>
      </c>
      <c r="DD190" s="175"/>
      <c r="DE190" s="176"/>
      <c r="DF190" s="176"/>
      <c r="DG190" s="176"/>
      <c r="DH190" s="176"/>
      <c r="DI190" s="176"/>
      <c r="DJ190" s="176"/>
      <c r="DK190" s="176"/>
      <c r="DL190" s="176"/>
      <c r="DM190" s="176"/>
      <c r="DN190" s="176"/>
      <c r="DO190" s="176"/>
      <c r="DP190" s="176">
        <f t="shared" ref="DP190:DP196" si="370">SUM(DD190:DO190)</f>
        <v>0</v>
      </c>
      <c r="DQ190" s="175">
        <f t="shared" ref="DQ190:DQ196" si="371">ROUND((CO190+CP190+CQ190+CR190+CS190+CT190+CU190+CV190+CW190+CX190+CY190+CZ190+DA190),2)</f>
        <v>3093.44</v>
      </c>
      <c r="DR190" s="175">
        <f t="shared" ref="DR190:DR196" si="372">SUM(G190-DQ190)</f>
        <v>-1938.44</v>
      </c>
    </row>
    <row r="191" spans="2:122" s="197" customFormat="1" ht="35.1" customHeight="1">
      <c r="B191" s="178">
        <v>41261</v>
      </c>
      <c r="C191" s="36" t="s">
        <v>249</v>
      </c>
      <c r="D191" s="36" t="s">
        <v>912</v>
      </c>
      <c r="E191" s="202" t="s">
        <v>175</v>
      </c>
      <c r="F191" s="203" t="s">
        <v>913</v>
      </c>
      <c r="G191" s="86">
        <v>1155</v>
      </c>
      <c r="H191" s="86">
        <f t="shared" si="147"/>
        <v>115.5</v>
      </c>
      <c r="I191" s="86">
        <f t="shared" si="146"/>
        <v>1039.5</v>
      </c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>
        <f t="shared" si="299"/>
        <v>0</v>
      </c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>
        <f t="shared" si="300"/>
        <v>7.4</v>
      </c>
      <c r="AJ191" s="86">
        <f t="shared" si="301"/>
        <v>7.4</v>
      </c>
      <c r="AK191" s="86">
        <v>1039.5</v>
      </c>
      <c r="AL191" s="86">
        <v>1039.5</v>
      </c>
      <c r="AM191" s="175">
        <f t="shared" si="302"/>
        <v>15.95</v>
      </c>
      <c r="AN191" s="175">
        <f t="shared" si="303"/>
        <v>17.66</v>
      </c>
      <c r="AO191" s="175">
        <f t="shared" si="304"/>
        <v>17.09</v>
      </c>
      <c r="AP191" s="175">
        <f t="shared" si="305"/>
        <v>17.66</v>
      </c>
      <c r="AQ191" s="175">
        <f t="shared" si="306"/>
        <v>17.09</v>
      </c>
      <c r="AR191" s="175">
        <f t="shared" si="307"/>
        <v>17.66</v>
      </c>
      <c r="AS191" s="175">
        <f t="shared" si="308"/>
        <v>17.66</v>
      </c>
      <c r="AT191" s="175">
        <f t="shared" si="309"/>
        <v>17.09</v>
      </c>
      <c r="AU191" s="175">
        <f t="shared" si="310"/>
        <v>17.66</v>
      </c>
      <c r="AV191" s="175">
        <f t="shared" si="311"/>
        <v>17.09</v>
      </c>
      <c r="AW191" s="175">
        <f t="shared" si="312"/>
        <v>17.66</v>
      </c>
      <c r="AX191" s="175">
        <f t="shared" si="313"/>
        <v>1229.7700000000002</v>
      </c>
      <c r="AY191" s="175">
        <f t="shared" si="314"/>
        <v>2269.27</v>
      </c>
      <c r="AZ191" s="175">
        <f t="shared" si="315"/>
        <v>17.66</v>
      </c>
      <c r="BA191" s="175">
        <f t="shared" si="316"/>
        <v>15.95</v>
      </c>
      <c r="BB191" s="175">
        <f t="shared" si="317"/>
        <v>17.66</v>
      </c>
      <c r="BC191" s="175">
        <f t="shared" si="318"/>
        <v>17.09</v>
      </c>
      <c r="BD191" s="175">
        <f t="shared" si="319"/>
        <v>17.66</v>
      </c>
      <c r="BE191" s="175">
        <f t="shared" si="320"/>
        <v>17.09</v>
      </c>
      <c r="BF191" s="175">
        <f t="shared" si="321"/>
        <v>17.66</v>
      </c>
      <c r="BG191" s="175">
        <f t="shared" si="322"/>
        <v>17.66</v>
      </c>
      <c r="BH191" s="175">
        <f t="shared" si="323"/>
        <v>17.09</v>
      </c>
      <c r="BI191" s="175">
        <f t="shared" si="324"/>
        <v>17.66</v>
      </c>
      <c r="BJ191" s="175">
        <f t="shared" si="325"/>
        <v>17.09</v>
      </c>
      <c r="BK191" s="175">
        <f t="shared" si="326"/>
        <v>17.66</v>
      </c>
      <c r="BL191" s="175">
        <f t="shared" si="327"/>
        <v>207.93</v>
      </c>
      <c r="BM191" s="175">
        <f t="shared" si="328"/>
        <v>2477.1999999999998</v>
      </c>
      <c r="BN191" s="175">
        <f t="shared" si="329"/>
        <v>17.66</v>
      </c>
      <c r="BO191" s="175">
        <f t="shared" si="330"/>
        <v>15.95</v>
      </c>
      <c r="BP191" s="175">
        <f t="shared" si="331"/>
        <v>17.66</v>
      </c>
      <c r="BQ191" s="175">
        <f t="shared" si="332"/>
        <v>17.09</v>
      </c>
      <c r="BR191" s="175">
        <f t="shared" si="333"/>
        <v>17.66</v>
      </c>
      <c r="BS191" s="175">
        <f t="shared" si="334"/>
        <v>17.09</v>
      </c>
      <c r="BT191" s="175">
        <f t="shared" si="335"/>
        <v>17.66</v>
      </c>
      <c r="BU191" s="175">
        <f t="shared" si="336"/>
        <v>17.66</v>
      </c>
      <c r="BV191" s="175">
        <f t="shared" si="337"/>
        <v>17.09</v>
      </c>
      <c r="BW191" s="175">
        <f t="shared" si="338"/>
        <v>17.66</v>
      </c>
      <c r="BX191" s="175">
        <f t="shared" si="339"/>
        <v>17.09</v>
      </c>
      <c r="BY191" s="175">
        <f t="shared" si="340"/>
        <v>17.66</v>
      </c>
      <c r="BZ191" s="175">
        <f t="shared" si="341"/>
        <v>207.93</v>
      </c>
      <c r="CA191" s="175">
        <f t="shared" si="342"/>
        <v>2685.13</v>
      </c>
      <c r="CB191" s="175">
        <f t="shared" si="343"/>
        <v>17.66</v>
      </c>
      <c r="CC191" s="175">
        <f t="shared" si="344"/>
        <v>16.52</v>
      </c>
      <c r="CD191" s="175">
        <f t="shared" si="345"/>
        <v>17.66</v>
      </c>
      <c r="CE191" s="175">
        <f t="shared" si="346"/>
        <v>17.09</v>
      </c>
      <c r="CF191" s="175">
        <f t="shared" si="347"/>
        <v>17.66</v>
      </c>
      <c r="CG191" s="175">
        <f t="shared" si="348"/>
        <v>17.09</v>
      </c>
      <c r="CH191" s="175">
        <f t="shared" si="349"/>
        <v>17.66</v>
      </c>
      <c r="CI191" s="175">
        <f t="shared" si="350"/>
        <v>17.66</v>
      </c>
      <c r="CJ191" s="175">
        <f t="shared" si="351"/>
        <v>17.09</v>
      </c>
      <c r="CK191" s="175">
        <f t="shared" si="352"/>
        <v>17.66</v>
      </c>
      <c r="CL191" s="175">
        <f t="shared" si="353"/>
        <v>17.09</v>
      </c>
      <c r="CM191" s="175">
        <f t="shared" si="354"/>
        <v>17.66</v>
      </c>
      <c r="CN191" s="175">
        <f t="shared" si="355"/>
        <v>208.5</v>
      </c>
      <c r="CO191" s="176">
        <f t="shared" si="356"/>
        <v>2893.63</v>
      </c>
      <c r="CP191" s="175">
        <f t="shared" si="357"/>
        <v>17.66</v>
      </c>
      <c r="CQ191" s="175">
        <f t="shared" si="358"/>
        <v>15.95</v>
      </c>
      <c r="CR191" s="175">
        <f t="shared" si="359"/>
        <v>17.66</v>
      </c>
      <c r="CS191" s="175">
        <f t="shared" si="360"/>
        <v>17.09</v>
      </c>
      <c r="CT191" s="177">
        <f t="shared" si="361"/>
        <v>17.66</v>
      </c>
      <c r="CU191" s="175">
        <f t="shared" si="362"/>
        <v>17.09</v>
      </c>
      <c r="CV191" s="175">
        <f t="shared" si="363"/>
        <v>17.66</v>
      </c>
      <c r="CW191" s="175">
        <f t="shared" si="364"/>
        <v>17.66</v>
      </c>
      <c r="CX191" s="175">
        <f t="shared" si="365"/>
        <v>17.09</v>
      </c>
      <c r="CY191" s="175">
        <f t="shared" si="366"/>
        <v>17.66</v>
      </c>
      <c r="CZ191" s="175">
        <f t="shared" si="367"/>
        <v>17.09</v>
      </c>
      <c r="DA191" s="175">
        <v>9.5399999999999991</v>
      </c>
      <c r="DB191" s="176">
        <f t="shared" si="368"/>
        <v>199.81</v>
      </c>
      <c r="DC191" s="176">
        <f t="shared" si="369"/>
        <v>3093.44</v>
      </c>
      <c r="DD191" s="175"/>
      <c r="DE191" s="176"/>
      <c r="DF191" s="176"/>
      <c r="DG191" s="176"/>
      <c r="DH191" s="176"/>
      <c r="DI191" s="176"/>
      <c r="DJ191" s="176"/>
      <c r="DK191" s="176"/>
      <c r="DL191" s="176"/>
      <c r="DM191" s="176"/>
      <c r="DN191" s="176"/>
      <c r="DO191" s="176"/>
      <c r="DP191" s="176">
        <f t="shared" si="370"/>
        <v>0</v>
      </c>
      <c r="DQ191" s="175">
        <f t="shared" si="371"/>
        <v>3093.44</v>
      </c>
      <c r="DR191" s="175">
        <f t="shared" si="372"/>
        <v>-1938.44</v>
      </c>
    </row>
    <row r="192" spans="2:122" s="197" customFormat="1" ht="35.1" customHeight="1">
      <c r="B192" s="178">
        <v>41261</v>
      </c>
      <c r="C192" s="36" t="s">
        <v>249</v>
      </c>
      <c r="D192" s="36" t="s">
        <v>914</v>
      </c>
      <c r="E192" s="202" t="s">
        <v>614</v>
      </c>
      <c r="F192" s="203" t="s">
        <v>915</v>
      </c>
      <c r="G192" s="86">
        <v>1155</v>
      </c>
      <c r="H192" s="86">
        <f t="shared" si="147"/>
        <v>115.5</v>
      </c>
      <c r="I192" s="86">
        <f t="shared" si="146"/>
        <v>1039.5</v>
      </c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>
        <f t="shared" si="299"/>
        <v>0</v>
      </c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>
        <f t="shared" si="300"/>
        <v>7.4</v>
      </c>
      <c r="AJ192" s="86">
        <f t="shared" si="301"/>
        <v>7.4</v>
      </c>
      <c r="AK192" s="86">
        <v>1039.5</v>
      </c>
      <c r="AL192" s="86">
        <v>1039.5</v>
      </c>
      <c r="AM192" s="175">
        <f t="shared" si="302"/>
        <v>15.95</v>
      </c>
      <c r="AN192" s="175">
        <f t="shared" si="303"/>
        <v>17.66</v>
      </c>
      <c r="AO192" s="175">
        <f t="shared" si="304"/>
        <v>17.09</v>
      </c>
      <c r="AP192" s="175">
        <f t="shared" si="305"/>
        <v>17.66</v>
      </c>
      <c r="AQ192" s="175">
        <f t="shared" si="306"/>
        <v>17.09</v>
      </c>
      <c r="AR192" s="175">
        <f t="shared" si="307"/>
        <v>17.66</v>
      </c>
      <c r="AS192" s="175">
        <f t="shared" si="308"/>
        <v>17.66</v>
      </c>
      <c r="AT192" s="175">
        <f t="shared" si="309"/>
        <v>17.09</v>
      </c>
      <c r="AU192" s="175">
        <f t="shared" si="310"/>
        <v>17.66</v>
      </c>
      <c r="AV192" s="175">
        <f t="shared" si="311"/>
        <v>17.09</v>
      </c>
      <c r="AW192" s="175">
        <f t="shared" si="312"/>
        <v>17.66</v>
      </c>
      <c r="AX192" s="175">
        <f t="shared" si="313"/>
        <v>1229.7700000000002</v>
      </c>
      <c r="AY192" s="175">
        <f t="shared" si="314"/>
        <v>2269.27</v>
      </c>
      <c r="AZ192" s="175">
        <f t="shared" si="315"/>
        <v>17.66</v>
      </c>
      <c r="BA192" s="175">
        <f t="shared" si="316"/>
        <v>15.95</v>
      </c>
      <c r="BB192" s="175">
        <f t="shared" si="317"/>
        <v>17.66</v>
      </c>
      <c r="BC192" s="175">
        <f t="shared" si="318"/>
        <v>17.09</v>
      </c>
      <c r="BD192" s="175">
        <f t="shared" si="319"/>
        <v>17.66</v>
      </c>
      <c r="BE192" s="175">
        <f t="shared" si="320"/>
        <v>17.09</v>
      </c>
      <c r="BF192" s="175">
        <f t="shared" si="321"/>
        <v>17.66</v>
      </c>
      <c r="BG192" s="175">
        <f t="shared" si="322"/>
        <v>17.66</v>
      </c>
      <c r="BH192" s="175">
        <f t="shared" si="323"/>
        <v>17.09</v>
      </c>
      <c r="BI192" s="175">
        <f t="shared" si="324"/>
        <v>17.66</v>
      </c>
      <c r="BJ192" s="175">
        <f t="shared" si="325"/>
        <v>17.09</v>
      </c>
      <c r="BK192" s="175">
        <f t="shared" si="326"/>
        <v>17.66</v>
      </c>
      <c r="BL192" s="175">
        <f t="shared" si="327"/>
        <v>207.93</v>
      </c>
      <c r="BM192" s="175">
        <f t="shared" si="328"/>
        <v>2477.1999999999998</v>
      </c>
      <c r="BN192" s="175">
        <f t="shared" si="329"/>
        <v>17.66</v>
      </c>
      <c r="BO192" s="175">
        <f t="shared" si="330"/>
        <v>15.95</v>
      </c>
      <c r="BP192" s="175">
        <f t="shared" si="331"/>
        <v>17.66</v>
      </c>
      <c r="BQ192" s="175">
        <f t="shared" si="332"/>
        <v>17.09</v>
      </c>
      <c r="BR192" s="175">
        <f t="shared" si="333"/>
        <v>17.66</v>
      </c>
      <c r="BS192" s="175">
        <f t="shared" si="334"/>
        <v>17.09</v>
      </c>
      <c r="BT192" s="175">
        <f t="shared" si="335"/>
        <v>17.66</v>
      </c>
      <c r="BU192" s="175">
        <f t="shared" si="336"/>
        <v>17.66</v>
      </c>
      <c r="BV192" s="175">
        <f t="shared" si="337"/>
        <v>17.09</v>
      </c>
      <c r="BW192" s="175">
        <f t="shared" si="338"/>
        <v>17.66</v>
      </c>
      <c r="BX192" s="175">
        <f t="shared" si="339"/>
        <v>17.09</v>
      </c>
      <c r="BY192" s="175">
        <f t="shared" si="340"/>
        <v>17.66</v>
      </c>
      <c r="BZ192" s="175">
        <f t="shared" si="341"/>
        <v>207.93</v>
      </c>
      <c r="CA192" s="175">
        <f t="shared" si="342"/>
        <v>2685.13</v>
      </c>
      <c r="CB192" s="175">
        <f t="shared" si="343"/>
        <v>17.66</v>
      </c>
      <c r="CC192" s="175">
        <f t="shared" si="344"/>
        <v>16.52</v>
      </c>
      <c r="CD192" s="175">
        <f t="shared" si="345"/>
        <v>17.66</v>
      </c>
      <c r="CE192" s="175">
        <f t="shared" si="346"/>
        <v>17.09</v>
      </c>
      <c r="CF192" s="175">
        <f t="shared" si="347"/>
        <v>17.66</v>
      </c>
      <c r="CG192" s="175">
        <f t="shared" si="348"/>
        <v>17.09</v>
      </c>
      <c r="CH192" s="175">
        <f t="shared" si="349"/>
        <v>17.66</v>
      </c>
      <c r="CI192" s="175">
        <f t="shared" si="350"/>
        <v>17.66</v>
      </c>
      <c r="CJ192" s="175">
        <f t="shared" si="351"/>
        <v>17.09</v>
      </c>
      <c r="CK192" s="175">
        <f t="shared" si="352"/>
        <v>17.66</v>
      </c>
      <c r="CL192" s="175">
        <f t="shared" si="353"/>
        <v>17.09</v>
      </c>
      <c r="CM192" s="175">
        <f t="shared" si="354"/>
        <v>17.66</v>
      </c>
      <c r="CN192" s="175">
        <f t="shared" si="355"/>
        <v>208.5</v>
      </c>
      <c r="CO192" s="176">
        <f t="shared" si="356"/>
        <v>2893.63</v>
      </c>
      <c r="CP192" s="175">
        <f t="shared" si="357"/>
        <v>17.66</v>
      </c>
      <c r="CQ192" s="175">
        <f t="shared" si="358"/>
        <v>15.95</v>
      </c>
      <c r="CR192" s="175">
        <f t="shared" si="359"/>
        <v>17.66</v>
      </c>
      <c r="CS192" s="175">
        <f t="shared" si="360"/>
        <v>17.09</v>
      </c>
      <c r="CT192" s="177">
        <f t="shared" si="361"/>
        <v>17.66</v>
      </c>
      <c r="CU192" s="175">
        <f t="shared" si="362"/>
        <v>17.09</v>
      </c>
      <c r="CV192" s="175">
        <f t="shared" si="363"/>
        <v>17.66</v>
      </c>
      <c r="CW192" s="175">
        <f t="shared" si="364"/>
        <v>17.66</v>
      </c>
      <c r="CX192" s="175">
        <f t="shared" si="365"/>
        <v>17.09</v>
      </c>
      <c r="CY192" s="175">
        <f t="shared" si="366"/>
        <v>17.66</v>
      </c>
      <c r="CZ192" s="175">
        <f t="shared" si="367"/>
        <v>17.09</v>
      </c>
      <c r="DA192" s="175">
        <v>9.5399999999999991</v>
      </c>
      <c r="DB192" s="176">
        <f t="shared" si="368"/>
        <v>199.81</v>
      </c>
      <c r="DC192" s="176">
        <f t="shared" si="369"/>
        <v>3093.44</v>
      </c>
      <c r="DD192" s="175"/>
      <c r="DE192" s="176"/>
      <c r="DF192" s="176"/>
      <c r="DG192" s="176"/>
      <c r="DH192" s="176"/>
      <c r="DI192" s="176"/>
      <c r="DJ192" s="176"/>
      <c r="DK192" s="176"/>
      <c r="DL192" s="176"/>
      <c r="DM192" s="176"/>
      <c r="DN192" s="176"/>
      <c r="DO192" s="176"/>
      <c r="DP192" s="176">
        <f t="shared" si="370"/>
        <v>0</v>
      </c>
      <c r="DQ192" s="175">
        <f t="shared" si="371"/>
        <v>3093.44</v>
      </c>
      <c r="DR192" s="175">
        <f t="shared" si="372"/>
        <v>-1938.44</v>
      </c>
    </row>
    <row r="193" spans="2:122" s="197" customFormat="1" ht="35.1" customHeight="1">
      <c r="B193" s="178">
        <v>41261</v>
      </c>
      <c r="C193" s="36" t="s">
        <v>249</v>
      </c>
      <c r="D193" s="36" t="s">
        <v>916</v>
      </c>
      <c r="E193" s="202" t="s">
        <v>209</v>
      </c>
      <c r="F193" s="203" t="s">
        <v>917</v>
      </c>
      <c r="G193" s="86">
        <v>1155</v>
      </c>
      <c r="H193" s="86">
        <f t="shared" si="147"/>
        <v>115.5</v>
      </c>
      <c r="I193" s="86">
        <f t="shared" si="146"/>
        <v>1039.5</v>
      </c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>
        <f t="shared" si="299"/>
        <v>0</v>
      </c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>
        <f t="shared" si="300"/>
        <v>7.4</v>
      </c>
      <c r="AJ193" s="86">
        <f t="shared" si="301"/>
        <v>7.4</v>
      </c>
      <c r="AK193" s="86">
        <v>1039.5</v>
      </c>
      <c r="AL193" s="86">
        <v>1039.5</v>
      </c>
      <c r="AM193" s="175">
        <f t="shared" si="302"/>
        <v>15.95</v>
      </c>
      <c r="AN193" s="175">
        <f t="shared" si="303"/>
        <v>17.66</v>
      </c>
      <c r="AO193" s="175">
        <f t="shared" si="304"/>
        <v>17.09</v>
      </c>
      <c r="AP193" s="175">
        <f t="shared" si="305"/>
        <v>17.66</v>
      </c>
      <c r="AQ193" s="175">
        <f t="shared" si="306"/>
        <v>17.09</v>
      </c>
      <c r="AR193" s="175">
        <f t="shared" si="307"/>
        <v>17.66</v>
      </c>
      <c r="AS193" s="175">
        <f t="shared" si="308"/>
        <v>17.66</v>
      </c>
      <c r="AT193" s="175">
        <f t="shared" si="309"/>
        <v>17.09</v>
      </c>
      <c r="AU193" s="175">
        <f t="shared" si="310"/>
        <v>17.66</v>
      </c>
      <c r="AV193" s="175">
        <f t="shared" si="311"/>
        <v>17.09</v>
      </c>
      <c r="AW193" s="175">
        <f t="shared" si="312"/>
        <v>17.66</v>
      </c>
      <c r="AX193" s="175">
        <f t="shared" si="313"/>
        <v>1229.7700000000002</v>
      </c>
      <c r="AY193" s="175">
        <f t="shared" si="314"/>
        <v>2269.27</v>
      </c>
      <c r="AZ193" s="175">
        <f t="shared" si="315"/>
        <v>17.66</v>
      </c>
      <c r="BA193" s="175">
        <f t="shared" si="316"/>
        <v>15.95</v>
      </c>
      <c r="BB193" s="175">
        <f t="shared" si="317"/>
        <v>17.66</v>
      </c>
      <c r="BC193" s="175">
        <f t="shared" si="318"/>
        <v>17.09</v>
      </c>
      <c r="BD193" s="175">
        <f t="shared" si="319"/>
        <v>17.66</v>
      </c>
      <c r="BE193" s="175">
        <f t="shared" si="320"/>
        <v>17.09</v>
      </c>
      <c r="BF193" s="175">
        <f t="shared" si="321"/>
        <v>17.66</v>
      </c>
      <c r="BG193" s="175">
        <f t="shared" si="322"/>
        <v>17.66</v>
      </c>
      <c r="BH193" s="175">
        <f t="shared" si="323"/>
        <v>17.09</v>
      </c>
      <c r="BI193" s="175">
        <f t="shared" si="324"/>
        <v>17.66</v>
      </c>
      <c r="BJ193" s="175">
        <f t="shared" si="325"/>
        <v>17.09</v>
      </c>
      <c r="BK193" s="175">
        <f t="shared" si="326"/>
        <v>17.66</v>
      </c>
      <c r="BL193" s="175">
        <f t="shared" si="327"/>
        <v>207.93</v>
      </c>
      <c r="BM193" s="175">
        <f t="shared" si="328"/>
        <v>2477.1999999999998</v>
      </c>
      <c r="BN193" s="175">
        <f t="shared" si="329"/>
        <v>17.66</v>
      </c>
      <c r="BO193" s="175">
        <f t="shared" si="330"/>
        <v>15.95</v>
      </c>
      <c r="BP193" s="175">
        <f t="shared" si="331"/>
        <v>17.66</v>
      </c>
      <c r="BQ193" s="175">
        <f t="shared" si="332"/>
        <v>17.09</v>
      </c>
      <c r="BR193" s="175">
        <f t="shared" si="333"/>
        <v>17.66</v>
      </c>
      <c r="BS193" s="175">
        <f t="shared" si="334"/>
        <v>17.09</v>
      </c>
      <c r="BT193" s="175">
        <f t="shared" si="335"/>
        <v>17.66</v>
      </c>
      <c r="BU193" s="175">
        <f t="shared" si="336"/>
        <v>17.66</v>
      </c>
      <c r="BV193" s="175">
        <f t="shared" si="337"/>
        <v>17.09</v>
      </c>
      <c r="BW193" s="175">
        <f t="shared" si="338"/>
        <v>17.66</v>
      </c>
      <c r="BX193" s="175">
        <f t="shared" si="339"/>
        <v>17.09</v>
      </c>
      <c r="BY193" s="175">
        <f t="shared" si="340"/>
        <v>17.66</v>
      </c>
      <c r="BZ193" s="175">
        <f t="shared" si="341"/>
        <v>207.93</v>
      </c>
      <c r="CA193" s="175">
        <f t="shared" si="342"/>
        <v>2685.13</v>
      </c>
      <c r="CB193" s="175">
        <f t="shared" si="343"/>
        <v>17.66</v>
      </c>
      <c r="CC193" s="175">
        <f t="shared" si="344"/>
        <v>16.52</v>
      </c>
      <c r="CD193" s="175">
        <f t="shared" si="345"/>
        <v>17.66</v>
      </c>
      <c r="CE193" s="175">
        <f t="shared" si="346"/>
        <v>17.09</v>
      </c>
      <c r="CF193" s="175">
        <f t="shared" si="347"/>
        <v>17.66</v>
      </c>
      <c r="CG193" s="175">
        <f t="shared" si="348"/>
        <v>17.09</v>
      </c>
      <c r="CH193" s="175">
        <f t="shared" si="349"/>
        <v>17.66</v>
      </c>
      <c r="CI193" s="175">
        <f t="shared" si="350"/>
        <v>17.66</v>
      </c>
      <c r="CJ193" s="175">
        <f t="shared" si="351"/>
        <v>17.09</v>
      </c>
      <c r="CK193" s="175">
        <f t="shared" si="352"/>
        <v>17.66</v>
      </c>
      <c r="CL193" s="175">
        <f t="shared" si="353"/>
        <v>17.09</v>
      </c>
      <c r="CM193" s="175">
        <f t="shared" si="354"/>
        <v>17.66</v>
      </c>
      <c r="CN193" s="175">
        <f t="shared" si="355"/>
        <v>208.5</v>
      </c>
      <c r="CO193" s="176">
        <f t="shared" si="356"/>
        <v>2893.63</v>
      </c>
      <c r="CP193" s="175">
        <f t="shared" si="357"/>
        <v>17.66</v>
      </c>
      <c r="CQ193" s="175">
        <f t="shared" si="358"/>
        <v>15.95</v>
      </c>
      <c r="CR193" s="175">
        <f t="shared" si="359"/>
        <v>17.66</v>
      </c>
      <c r="CS193" s="175">
        <f t="shared" si="360"/>
        <v>17.09</v>
      </c>
      <c r="CT193" s="177">
        <f t="shared" si="361"/>
        <v>17.66</v>
      </c>
      <c r="CU193" s="175">
        <f t="shared" si="362"/>
        <v>17.09</v>
      </c>
      <c r="CV193" s="175">
        <f t="shared" si="363"/>
        <v>17.66</v>
      </c>
      <c r="CW193" s="175">
        <f t="shared" si="364"/>
        <v>17.66</v>
      </c>
      <c r="CX193" s="175">
        <f t="shared" si="365"/>
        <v>17.09</v>
      </c>
      <c r="CY193" s="175">
        <f t="shared" si="366"/>
        <v>17.66</v>
      </c>
      <c r="CZ193" s="175">
        <f t="shared" si="367"/>
        <v>17.09</v>
      </c>
      <c r="DA193" s="175">
        <v>9.5399999999999991</v>
      </c>
      <c r="DB193" s="176">
        <f t="shared" si="368"/>
        <v>199.81</v>
      </c>
      <c r="DC193" s="176">
        <f t="shared" si="369"/>
        <v>3093.44</v>
      </c>
      <c r="DD193" s="175"/>
      <c r="DE193" s="176"/>
      <c r="DF193" s="176"/>
      <c r="DG193" s="176"/>
      <c r="DH193" s="176"/>
      <c r="DI193" s="176"/>
      <c r="DJ193" s="176"/>
      <c r="DK193" s="176"/>
      <c r="DL193" s="176"/>
      <c r="DM193" s="176"/>
      <c r="DN193" s="176"/>
      <c r="DO193" s="176"/>
      <c r="DP193" s="176">
        <f t="shared" si="370"/>
        <v>0</v>
      </c>
      <c r="DQ193" s="175">
        <f t="shared" si="371"/>
        <v>3093.44</v>
      </c>
      <c r="DR193" s="175">
        <f t="shared" si="372"/>
        <v>-1938.44</v>
      </c>
    </row>
    <row r="194" spans="2:122" s="197" customFormat="1" ht="35.1" customHeight="1">
      <c r="B194" s="178">
        <v>41261</v>
      </c>
      <c r="C194" s="36" t="s">
        <v>249</v>
      </c>
      <c r="D194" s="36" t="s">
        <v>918</v>
      </c>
      <c r="E194" s="202" t="s">
        <v>121</v>
      </c>
      <c r="F194" s="203" t="s">
        <v>919</v>
      </c>
      <c r="G194" s="86">
        <v>1155</v>
      </c>
      <c r="H194" s="86">
        <f t="shared" si="147"/>
        <v>115.5</v>
      </c>
      <c r="I194" s="86">
        <f t="shared" si="146"/>
        <v>1039.5</v>
      </c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>
        <f t="shared" si="299"/>
        <v>0</v>
      </c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>
        <f t="shared" si="300"/>
        <v>7.4</v>
      </c>
      <c r="AJ194" s="86">
        <f t="shared" si="301"/>
        <v>7.4</v>
      </c>
      <c r="AK194" s="86">
        <v>1039.5</v>
      </c>
      <c r="AL194" s="86">
        <v>1039.5</v>
      </c>
      <c r="AM194" s="175">
        <f t="shared" si="302"/>
        <v>15.95</v>
      </c>
      <c r="AN194" s="175">
        <f t="shared" si="303"/>
        <v>17.66</v>
      </c>
      <c r="AO194" s="175">
        <f t="shared" si="304"/>
        <v>17.09</v>
      </c>
      <c r="AP194" s="175">
        <f t="shared" si="305"/>
        <v>17.66</v>
      </c>
      <c r="AQ194" s="175">
        <f t="shared" si="306"/>
        <v>17.09</v>
      </c>
      <c r="AR194" s="175">
        <f t="shared" si="307"/>
        <v>17.66</v>
      </c>
      <c r="AS194" s="175">
        <f t="shared" si="308"/>
        <v>17.66</v>
      </c>
      <c r="AT194" s="175">
        <f t="shared" si="309"/>
        <v>17.09</v>
      </c>
      <c r="AU194" s="175">
        <f t="shared" si="310"/>
        <v>17.66</v>
      </c>
      <c r="AV194" s="175">
        <f t="shared" si="311"/>
        <v>17.09</v>
      </c>
      <c r="AW194" s="175">
        <f t="shared" si="312"/>
        <v>17.66</v>
      </c>
      <c r="AX194" s="175">
        <f t="shared" si="313"/>
        <v>1229.7700000000002</v>
      </c>
      <c r="AY194" s="175">
        <f t="shared" si="314"/>
        <v>2269.27</v>
      </c>
      <c r="AZ194" s="175">
        <f t="shared" si="315"/>
        <v>17.66</v>
      </c>
      <c r="BA194" s="175">
        <f t="shared" si="316"/>
        <v>15.95</v>
      </c>
      <c r="BB194" s="175">
        <f t="shared" si="317"/>
        <v>17.66</v>
      </c>
      <c r="BC194" s="175">
        <f t="shared" si="318"/>
        <v>17.09</v>
      </c>
      <c r="BD194" s="175">
        <f t="shared" si="319"/>
        <v>17.66</v>
      </c>
      <c r="BE194" s="175">
        <f t="shared" si="320"/>
        <v>17.09</v>
      </c>
      <c r="BF194" s="175">
        <f t="shared" si="321"/>
        <v>17.66</v>
      </c>
      <c r="BG194" s="175">
        <f t="shared" si="322"/>
        <v>17.66</v>
      </c>
      <c r="BH194" s="175">
        <f t="shared" si="323"/>
        <v>17.09</v>
      </c>
      <c r="BI194" s="175">
        <f t="shared" si="324"/>
        <v>17.66</v>
      </c>
      <c r="BJ194" s="175">
        <f t="shared" si="325"/>
        <v>17.09</v>
      </c>
      <c r="BK194" s="175">
        <f t="shared" si="326"/>
        <v>17.66</v>
      </c>
      <c r="BL194" s="175">
        <f t="shared" si="327"/>
        <v>207.93</v>
      </c>
      <c r="BM194" s="175">
        <f t="shared" si="328"/>
        <v>2477.1999999999998</v>
      </c>
      <c r="BN194" s="175">
        <f t="shared" si="329"/>
        <v>17.66</v>
      </c>
      <c r="BO194" s="175">
        <f t="shared" si="330"/>
        <v>15.95</v>
      </c>
      <c r="BP194" s="175">
        <f t="shared" si="331"/>
        <v>17.66</v>
      </c>
      <c r="BQ194" s="175">
        <f t="shared" si="332"/>
        <v>17.09</v>
      </c>
      <c r="BR194" s="175">
        <f t="shared" si="333"/>
        <v>17.66</v>
      </c>
      <c r="BS194" s="175">
        <f t="shared" si="334"/>
        <v>17.09</v>
      </c>
      <c r="BT194" s="175">
        <f t="shared" si="335"/>
        <v>17.66</v>
      </c>
      <c r="BU194" s="175">
        <f t="shared" si="336"/>
        <v>17.66</v>
      </c>
      <c r="BV194" s="175">
        <f t="shared" si="337"/>
        <v>17.09</v>
      </c>
      <c r="BW194" s="175">
        <f t="shared" si="338"/>
        <v>17.66</v>
      </c>
      <c r="BX194" s="175">
        <f t="shared" si="339"/>
        <v>17.09</v>
      </c>
      <c r="BY194" s="175">
        <f t="shared" si="340"/>
        <v>17.66</v>
      </c>
      <c r="BZ194" s="175">
        <f t="shared" si="341"/>
        <v>207.93</v>
      </c>
      <c r="CA194" s="175">
        <f t="shared" si="342"/>
        <v>2685.13</v>
      </c>
      <c r="CB194" s="175">
        <f t="shared" si="343"/>
        <v>17.66</v>
      </c>
      <c r="CC194" s="175">
        <f t="shared" si="344"/>
        <v>16.52</v>
      </c>
      <c r="CD194" s="175">
        <f t="shared" si="345"/>
        <v>17.66</v>
      </c>
      <c r="CE194" s="175">
        <f t="shared" si="346"/>
        <v>17.09</v>
      </c>
      <c r="CF194" s="175">
        <f t="shared" si="347"/>
        <v>17.66</v>
      </c>
      <c r="CG194" s="175">
        <f t="shared" si="348"/>
        <v>17.09</v>
      </c>
      <c r="CH194" s="175">
        <f t="shared" si="349"/>
        <v>17.66</v>
      </c>
      <c r="CI194" s="175">
        <f t="shared" si="350"/>
        <v>17.66</v>
      </c>
      <c r="CJ194" s="175">
        <f t="shared" si="351"/>
        <v>17.09</v>
      </c>
      <c r="CK194" s="175">
        <f t="shared" si="352"/>
        <v>17.66</v>
      </c>
      <c r="CL194" s="175">
        <f t="shared" si="353"/>
        <v>17.09</v>
      </c>
      <c r="CM194" s="175">
        <f t="shared" si="354"/>
        <v>17.66</v>
      </c>
      <c r="CN194" s="175">
        <f t="shared" si="355"/>
        <v>208.5</v>
      </c>
      <c r="CO194" s="176">
        <f t="shared" si="356"/>
        <v>2893.63</v>
      </c>
      <c r="CP194" s="175">
        <f t="shared" si="357"/>
        <v>17.66</v>
      </c>
      <c r="CQ194" s="175">
        <f t="shared" si="358"/>
        <v>15.95</v>
      </c>
      <c r="CR194" s="175">
        <f t="shared" si="359"/>
        <v>17.66</v>
      </c>
      <c r="CS194" s="175">
        <f t="shared" si="360"/>
        <v>17.09</v>
      </c>
      <c r="CT194" s="177">
        <f t="shared" si="361"/>
        <v>17.66</v>
      </c>
      <c r="CU194" s="175">
        <f t="shared" si="362"/>
        <v>17.09</v>
      </c>
      <c r="CV194" s="175">
        <f t="shared" si="363"/>
        <v>17.66</v>
      </c>
      <c r="CW194" s="175">
        <f t="shared" si="364"/>
        <v>17.66</v>
      </c>
      <c r="CX194" s="175">
        <f t="shared" si="365"/>
        <v>17.09</v>
      </c>
      <c r="CY194" s="175">
        <f t="shared" si="366"/>
        <v>17.66</v>
      </c>
      <c r="CZ194" s="175">
        <f t="shared" si="367"/>
        <v>17.09</v>
      </c>
      <c r="DA194" s="175">
        <v>9.5399999999999991</v>
      </c>
      <c r="DB194" s="176">
        <f t="shared" si="368"/>
        <v>199.81</v>
      </c>
      <c r="DC194" s="176">
        <f t="shared" si="369"/>
        <v>3093.44</v>
      </c>
      <c r="DD194" s="175"/>
      <c r="DE194" s="176"/>
      <c r="DF194" s="176"/>
      <c r="DG194" s="176"/>
      <c r="DH194" s="176"/>
      <c r="DI194" s="176"/>
      <c r="DJ194" s="176"/>
      <c r="DK194" s="176"/>
      <c r="DL194" s="176"/>
      <c r="DM194" s="176"/>
      <c r="DN194" s="176"/>
      <c r="DO194" s="176"/>
      <c r="DP194" s="176">
        <f t="shared" si="370"/>
        <v>0</v>
      </c>
      <c r="DQ194" s="175">
        <f t="shared" si="371"/>
        <v>3093.44</v>
      </c>
      <c r="DR194" s="175">
        <f t="shared" si="372"/>
        <v>-1938.44</v>
      </c>
    </row>
    <row r="195" spans="2:122" s="197" customFormat="1" ht="14.25" customHeight="1">
      <c r="B195" s="178">
        <v>41261</v>
      </c>
      <c r="C195" s="36" t="s">
        <v>920</v>
      </c>
      <c r="D195" s="47" t="s">
        <v>921</v>
      </c>
      <c r="E195" s="202" t="s">
        <v>112</v>
      </c>
      <c r="F195" s="202" t="s">
        <v>922</v>
      </c>
      <c r="G195" s="86">
        <v>642</v>
      </c>
      <c r="H195" s="86">
        <f t="shared" si="147"/>
        <v>64.2</v>
      </c>
      <c r="I195" s="86">
        <f t="shared" si="146"/>
        <v>577.80000000000007</v>
      </c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>
        <f t="shared" si="299"/>
        <v>0</v>
      </c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>
        <f t="shared" si="300"/>
        <v>4.12</v>
      </c>
      <c r="AJ195" s="86">
        <f t="shared" si="301"/>
        <v>4.12</v>
      </c>
      <c r="AK195" s="86">
        <v>577.79999999999995</v>
      </c>
      <c r="AL195" s="86">
        <v>577.79999999999995</v>
      </c>
      <c r="AM195" s="175">
        <f t="shared" si="302"/>
        <v>8.86</v>
      </c>
      <c r="AN195" s="175">
        <f t="shared" si="303"/>
        <v>9.81</v>
      </c>
      <c r="AO195" s="175">
        <f t="shared" si="304"/>
        <v>9.5</v>
      </c>
      <c r="AP195" s="175">
        <f t="shared" si="305"/>
        <v>9.81</v>
      </c>
      <c r="AQ195" s="175">
        <f t="shared" si="306"/>
        <v>9.5</v>
      </c>
      <c r="AR195" s="175">
        <f t="shared" si="307"/>
        <v>9.81</v>
      </c>
      <c r="AS195" s="175">
        <f t="shared" si="308"/>
        <v>9.81</v>
      </c>
      <c r="AT195" s="175">
        <f t="shared" si="309"/>
        <v>9.5</v>
      </c>
      <c r="AU195" s="175">
        <f t="shared" si="310"/>
        <v>9.81</v>
      </c>
      <c r="AV195" s="175">
        <f t="shared" si="311"/>
        <v>9.5</v>
      </c>
      <c r="AW195" s="175">
        <f t="shared" si="312"/>
        <v>9.81</v>
      </c>
      <c r="AX195" s="175">
        <f t="shared" si="313"/>
        <v>683.51999999999964</v>
      </c>
      <c r="AY195" s="175">
        <f t="shared" si="314"/>
        <v>1261.32</v>
      </c>
      <c r="AZ195" s="175">
        <f t="shared" si="315"/>
        <v>9.81</v>
      </c>
      <c r="BA195" s="175">
        <f t="shared" si="316"/>
        <v>8.86</v>
      </c>
      <c r="BB195" s="175">
        <f t="shared" si="317"/>
        <v>9.81</v>
      </c>
      <c r="BC195" s="175">
        <f t="shared" si="318"/>
        <v>9.5</v>
      </c>
      <c r="BD195" s="175">
        <f t="shared" si="319"/>
        <v>9.81</v>
      </c>
      <c r="BE195" s="175">
        <f t="shared" si="320"/>
        <v>9.5</v>
      </c>
      <c r="BF195" s="175">
        <f t="shared" si="321"/>
        <v>9.81</v>
      </c>
      <c r="BG195" s="175">
        <f t="shared" si="322"/>
        <v>9.81</v>
      </c>
      <c r="BH195" s="175">
        <f t="shared" si="323"/>
        <v>9.5</v>
      </c>
      <c r="BI195" s="175">
        <f t="shared" si="324"/>
        <v>9.81</v>
      </c>
      <c r="BJ195" s="175">
        <f t="shared" si="325"/>
        <v>9.5</v>
      </c>
      <c r="BK195" s="175">
        <f t="shared" si="326"/>
        <v>9.81</v>
      </c>
      <c r="BL195" s="175">
        <f t="shared" si="327"/>
        <v>115.53000000000002</v>
      </c>
      <c r="BM195" s="175">
        <f t="shared" si="328"/>
        <v>1376.85</v>
      </c>
      <c r="BN195" s="175">
        <f t="shared" si="329"/>
        <v>9.81</v>
      </c>
      <c r="BO195" s="175">
        <f t="shared" si="330"/>
        <v>8.86</v>
      </c>
      <c r="BP195" s="175">
        <f t="shared" si="331"/>
        <v>9.81</v>
      </c>
      <c r="BQ195" s="175">
        <f t="shared" si="332"/>
        <v>9.5</v>
      </c>
      <c r="BR195" s="175">
        <f t="shared" si="333"/>
        <v>9.81</v>
      </c>
      <c r="BS195" s="175">
        <f t="shared" si="334"/>
        <v>9.5</v>
      </c>
      <c r="BT195" s="175">
        <f t="shared" si="335"/>
        <v>9.81</v>
      </c>
      <c r="BU195" s="175">
        <f t="shared" si="336"/>
        <v>9.81</v>
      </c>
      <c r="BV195" s="175">
        <f t="shared" si="337"/>
        <v>9.5</v>
      </c>
      <c r="BW195" s="175">
        <f t="shared" si="338"/>
        <v>9.81</v>
      </c>
      <c r="BX195" s="175">
        <f t="shared" si="339"/>
        <v>9.5</v>
      </c>
      <c r="BY195" s="175">
        <f t="shared" si="340"/>
        <v>9.81</v>
      </c>
      <c r="BZ195" s="175">
        <f t="shared" si="341"/>
        <v>115.53000000000002</v>
      </c>
      <c r="CA195" s="175">
        <f t="shared" si="342"/>
        <v>1492.38</v>
      </c>
      <c r="CB195" s="175">
        <f t="shared" si="343"/>
        <v>9.81</v>
      </c>
      <c r="CC195" s="175">
        <f t="shared" si="344"/>
        <v>9.18</v>
      </c>
      <c r="CD195" s="175">
        <f t="shared" si="345"/>
        <v>9.81</v>
      </c>
      <c r="CE195" s="175">
        <f t="shared" si="346"/>
        <v>9.5</v>
      </c>
      <c r="CF195" s="175">
        <f t="shared" si="347"/>
        <v>9.81</v>
      </c>
      <c r="CG195" s="175">
        <f t="shared" si="348"/>
        <v>9.5</v>
      </c>
      <c r="CH195" s="175">
        <f t="shared" si="349"/>
        <v>9.81</v>
      </c>
      <c r="CI195" s="175">
        <f t="shared" si="350"/>
        <v>9.81</v>
      </c>
      <c r="CJ195" s="175">
        <f t="shared" si="351"/>
        <v>9.5</v>
      </c>
      <c r="CK195" s="175">
        <f t="shared" si="352"/>
        <v>9.81</v>
      </c>
      <c r="CL195" s="175">
        <f t="shared" si="353"/>
        <v>9.5</v>
      </c>
      <c r="CM195" s="175">
        <f t="shared" si="354"/>
        <v>9.81</v>
      </c>
      <c r="CN195" s="175">
        <f t="shared" si="355"/>
        <v>115.85000000000001</v>
      </c>
      <c r="CO195" s="176">
        <f t="shared" si="356"/>
        <v>1608.23</v>
      </c>
      <c r="CP195" s="175">
        <f t="shared" si="357"/>
        <v>9.81</v>
      </c>
      <c r="CQ195" s="175">
        <f t="shared" si="358"/>
        <v>8.86</v>
      </c>
      <c r="CR195" s="175">
        <f t="shared" si="359"/>
        <v>9.81</v>
      </c>
      <c r="CS195" s="175">
        <f t="shared" si="360"/>
        <v>9.5</v>
      </c>
      <c r="CT195" s="177">
        <f t="shared" si="361"/>
        <v>9.81</v>
      </c>
      <c r="CU195" s="175">
        <f t="shared" si="362"/>
        <v>9.5</v>
      </c>
      <c r="CV195" s="175">
        <f t="shared" si="363"/>
        <v>9.81</v>
      </c>
      <c r="CW195" s="175">
        <f t="shared" si="364"/>
        <v>9.81</v>
      </c>
      <c r="CX195" s="175">
        <f t="shared" si="365"/>
        <v>9.5</v>
      </c>
      <c r="CY195" s="175">
        <f t="shared" si="366"/>
        <v>9.81</v>
      </c>
      <c r="CZ195" s="175">
        <f t="shared" si="367"/>
        <v>9.5</v>
      </c>
      <c r="DA195" s="175">
        <v>5.52</v>
      </c>
      <c r="DB195" s="176">
        <f t="shared" si="368"/>
        <v>111.24000000000001</v>
      </c>
      <c r="DC195" s="176">
        <f t="shared" si="369"/>
        <v>1719.47</v>
      </c>
      <c r="DD195" s="175"/>
      <c r="DE195" s="176"/>
      <c r="DF195" s="176"/>
      <c r="DG195" s="176"/>
      <c r="DH195" s="176"/>
      <c r="DI195" s="176"/>
      <c r="DJ195" s="176"/>
      <c r="DK195" s="176"/>
      <c r="DL195" s="176"/>
      <c r="DM195" s="176"/>
      <c r="DN195" s="176"/>
      <c r="DO195" s="176"/>
      <c r="DP195" s="176">
        <f t="shared" si="370"/>
        <v>0</v>
      </c>
      <c r="DQ195" s="175">
        <f t="shared" si="371"/>
        <v>1719.47</v>
      </c>
      <c r="DR195" s="175">
        <f t="shared" si="372"/>
        <v>-1077.47</v>
      </c>
    </row>
    <row r="196" spans="2:122" s="197" customFormat="1" ht="14.25" customHeight="1">
      <c r="B196" s="178">
        <v>41264</v>
      </c>
      <c r="C196" s="47" t="s">
        <v>923</v>
      </c>
      <c r="D196" s="47" t="s">
        <v>924</v>
      </c>
      <c r="E196" s="202" t="s">
        <v>121</v>
      </c>
      <c r="F196" s="203" t="s">
        <v>925</v>
      </c>
      <c r="G196" s="86">
        <v>10900</v>
      </c>
      <c r="H196" s="86">
        <f t="shared" si="147"/>
        <v>1090</v>
      </c>
      <c r="I196" s="86">
        <f t="shared" si="146"/>
        <v>9810</v>
      </c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>
        <f t="shared" si="299"/>
        <v>0</v>
      </c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>
        <f>ROUND((I196/5/365*10),2)</f>
        <v>53.75</v>
      </c>
      <c r="AJ196" s="86">
        <f t="shared" si="301"/>
        <v>53.75</v>
      </c>
      <c r="AK196" s="86">
        <v>9810</v>
      </c>
      <c r="AL196" s="86">
        <v>9810</v>
      </c>
      <c r="AM196" s="175">
        <f t="shared" si="302"/>
        <v>150.51</v>
      </c>
      <c r="AN196" s="175">
        <f t="shared" si="303"/>
        <v>166.64</v>
      </c>
      <c r="AO196" s="175">
        <f t="shared" si="304"/>
        <v>161.26</v>
      </c>
      <c r="AP196" s="175">
        <f t="shared" si="305"/>
        <v>166.64</v>
      </c>
      <c r="AQ196" s="175">
        <f t="shared" si="306"/>
        <v>161.26</v>
      </c>
      <c r="AR196" s="175">
        <f t="shared" si="307"/>
        <v>166.64</v>
      </c>
      <c r="AS196" s="175">
        <f t="shared" si="308"/>
        <v>166.64</v>
      </c>
      <c r="AT196" s="175">
        <f t="shared" si="309"/>
        <v>161.26</v>
      </c>
      <c r="AU196" s="175">
        <f t="shared" si="310"/>
        <v>166.64</v>
      </c>
      <c r="AV196" s="175">
        <f t="shared" si="311"/>
        <v>161.26</v>
      </c>
      <c r="AW196" s="175">
        <f t="shared" si="312"/>
        <v>166.64</v>
      </c>
      <c r="AX196" s="175">
        <f t="shared" si="313"/>
        <v>11605.389999999998</v>
      </c>
      <c r="AY196" s="175">
        <f t="shared" si="314"/>
        <v>21415.39</v>
      </c>
      <c r="AZ196" s="175">
        <f t="shared" si="315"/>
        <v>166.64</v>
      </c>
      <c r="BA196" s="175">
        <f t="shared" si="316"/>
        <v>150.51</v>
      </c>
      <c r="BB196" s="175">
        <f t="shared" si="317"/>
        <v>166.64</v>
      </c>
      <c r="BC196" s="175">
        <f t="shared" si="318"/>
        <v>161.26</v>
      </c>
      <c r="BD196" s="175">
        <f t="shared" si="319"/>
        <v>166.64</v>
      </c>
      <c r="BE196" s="175">
        <f t="shared" si="320"/>
        <v>161.26</v>
      </c>
      <c r="BF196" s="175">
        <f t="shared" si="321"/>
        <v>166.64</v>
      </c>
      <c r="BG196" s="175">
        <f t="shared" si="322"/>
        <v>166.64</v>
      </c>
      <c r="BH196" s="175">
        <f t="shared" si="323"/>
        <v>161.26</v>
      </c>
      <c r="BI196" s="175">
        <f t="shared" si="324"/>
        <v>166.64</v>
      </c>
      <c r="BJ196" s="175">
        <f t="shared" si="325"/>
        <v>161.26</v>
      </c>
      <c r="BK196" s="175">
        <f t="shared" si="326"/>
        <v>166.64</v>
      </c>
      <c r="BL196" s="175">
        <f t="shared" si="327"/>
        <v>1962.0300000000002</v>
      </c>
      <c r="BM196" s="175">
        <f t="shared" si="328"/>
        <v>23377.42</v>
      </c>
      <c r="BN196" s="175">
        <f t="shared" si="329"/>
        <v>166.64</v>
      </c>
      <c r="BO196" s="175">
        <f t="shared" si="330"/>
        <v>150.51</v>
      </c>
      <c r="BP196" s="175">
        <f t="shared" si="331"/>
        <v>166.64</v>
      </c>
      <c r="BQ196" s="175">
        <f t="shared" si="332"/>
        <v>161.26</v>
      </c>
      <c r="BR196" s="175">
        <f t="shared" si="333"/>
        <v>166.64</v>
      </c>
      <c r="BS196" s="175">
        <f t="shared" si="334"/>
        <v>161.26</v>
      </c>
      <c r="BT196" s="175">
        <f t="shared" si="335"/>
        <v>166.64</v>
      </c>
      <c r="BU196" s="175">
        <f t="shared" si="336"/>
        <v>166.64</v>
      </c>
      <c r="BV196" s="175">
        <f t="shared" si="337"/>
        <v>161.26</v>
      </c>
      <c r="BW196" s="175">
        <f t="shared" si="338"/>
        <v>166.64</v>
      </c>
      <c r="BX196" s="175">
        <f t="shared" si="339"/>
        <v>161.26</v>
      </c>
      <c r="BY196" s="175">
        <f t="shared" si="340"/>
        <v>166.64</v>
      </c>
      <c r="BZ196" s="175">
        <f t="shared" si="341"/>
        <v>1962.0300000000002</v>
      </c>
      <c r="CA196" s="175">
        <f t="shared" si="342"/>
        <v>25339.45</v>
      </c>
      <c r="CB196" s="175">
        <f t="shared" si="343"/>
        <v>166.64</v>
      </c>
      <c r="CC196" s="175">
        <f t="shared" si="344"/>
        <v>155.88</v>
      </c>
      <c r="CD196" s="175">
        <f t="shared" si="345"/>
        <v>166.64</v>
      </c>
      <c r="CE196" s="175">
        <f t="shared" si="346"/>
        <v>161.26</v>
      </c>
      <c r="CF196" s="175">
        <f t="shared" si="347"/>
        <v>166.64</v>
      </c>
      <c r="CG196" s="175">
        <f t="shared" si="348"/>
        <v>161.26</v>
      </c>
      <c r="CH196" s="175">
        <f t="shared" si="349"/>
        <v>166.64</v>
      </c>
      <c r="CI196" s="175">
        <f t="shared" si="350"/>
        <v>166.64</v>
      </c>
      <c r="CJ196" s="175">
        <f t="shared" si="351"/>
        <v>161.26</v>
      </c>
      <c r="CK196" s="175">
        <f t="shared" si="352"/>
        <v>166.64</v>
      </c>
      <c r="CL196" s="175">
        <f t="shared" si="353"/>
        <v>161.26</v>
      </c>
      <c r="CM196" s="175">
        <f t="shared" si="354"/>
        <v>166.64</v>
      </c>
      <c r="CN196" s="175">
        <f t="shared" si="355"/>
        <v>1967.4</v>
      </c>
      <c r="CO196" s="176">
        <f t="shared" si="356"/>
        <v>27306.85</v>
      </c>
      <c r="CP196" s="175">
        <f t="shared" si="357"/>
        <v>166.64</v>
      </c>
      <c r="CQ196" s="175">
        <f t="shared" si="358"/>
        <v>150.51</v>
      </c>
      <c r="CR196" s="175">
        <f t="shared" si="359"/>
        <v>166.64</v>
      </c>
      <c r="CS196" s="175">
        <f t="shared" si="360"/>
        <v>161.26</v>
      </c>
      <c r="CT196" s="177">
        <f t="shared" si="361"/>
        <v>166.64</v>
      </c>
      <c r="CU196" s="175">
        <f t="shared" si="362"/>
        <v>161.26</v>
      </c>
      <c r="CV196" s="175">
        <f t="shared" si="363"/>
        <v>166.64</v>
      </c>
      <c r="CW196" s="175">
        <f t="shared" si="364"/>
        <v>166.64</v>
      </c>
      <c r="CX196" s="175">
        <f t="shared" si="365"/>
        <v>161.26</v>
      </c>
      <c r="CY196" s="175">
        <f t="shared" si="366"/>
        <v>166.64</v>
      </c>
      <c r="CZ196" s="175">
        <f t="shared" si="367"/>
        <v>161.26</v>
      </c>
      <c r="DA196" s="175">
        <v>107.37</v>
      </c>
      <c r="DB196" s="176">
        <f t="shared" si="368"/>
        <v>1902.7600000000002</v>
      </c>
      <c r="DC196" s="176">
        <f t="shared" si="369"/>
        <v>29209.61</v>
      </c>
      <c r="DD196" s="175"/>
      <c r="DE196" s="176"/>
      <c r="DF196" s="176"/>
      <c r="DG196" s="176"/>
      <c r="DH196" s="176"/>
      <c r="DI196" s="176"/>
      <c r="DJ196" s="176"/>
      <c r="DK196" s="176"/>
      <c r="DL196" s="176"/>
      <c r="DM196" s="176"/>
      <c r="DN196" s="176"/>
      <c r="DO196" s="176"/>
      <c r="DP196" s="176">
        <f t="shared" si="370"/>
        <v>0</v>
      </c>
      <c r="DQ196" s="175">
        <f t="shared" si="371"/>
        <v>29209.61</v>
      </c>
      <c r="DR196" s="175">
        <f t="shared" si="372"/>
        <v>-18309.61</v>
      </c>
    </row>
    <row r="197" spans="2:122" s="129" customFormat="1" ht="11.25" customHeight="1">
      <c r="B197" s="146" t="s">
        <v>511</v>
      </c>
      <c r="C197" s="142"/>
      <c r="D197" s="142"/>
      <c r="E197" s="179"/>
      <c r="F197" s="179"/>
      <c r="G197" s="145">
        <f>SUM(G93:G196)</f>
        <v>231506.03</v>
      </c>
      <c r="H197" s="145">
        <f>SUM(H93:H196)</f>
        <v>23150.603000000025</v>
      </c>
      <c r="I197" s="145">
        <f>SUM(I93:I196)</f>
        <v>208355.42699999968</v>
      </c>
      <c r="J197" s="145">
        <f t="shared" ref="J197:Q197" si="373">SUM(J93:J135)</f>
        <v>0</v>
      </c>
      <c r="K197" s="145">
        <f t="shared" si="373"/>
        <v>0</v>
      </c>
      <c r="L197" s="145">
        <f t="shared" si="373"/>
        <v>0</v>
      </c>
      <c r="M197" s="145">
        <f t="shared" si="373"/>
        <v>0</v>
      </c>
      <c r="N197" s="145">
        <f t="shared" si="373"/>
        <v>0</v>
      </c>
      <c r="O197" s="145">
        <f t="shared" si="373"/>
        <v>0</v>
      </c>
      <c r="P197" s="145">
        <f t="shared" si="373"/>
        <v>0</v>
      </c>
      <c r="Q197" s="145">
        <f t="shared" si="373"/>
        <v>0</v>
      </c>
      <c r="R197" s="145">
        <f t="shared" ref="R197:AG197" si="374">SUM(R93:R151)</f>
        <v>2.42</v>
      </c>
      <c r="S197" s="145">
        <f t="shared" si="374"/>
        <v>2465.14</v>
      </c>
      <c r="T197" s="145">
        <f t="shared" si="374"/>
        <v>4203.49</v>
      </c>
      <c r="U197" s="145">
        <f t="shared" si="374"/>
        <v>4203.49</v>
      </c>
      <c r="V197" s="145">
        <f t="shared" si="374"/>
        <v>4203.5099999999993</v>
      </c>
      <c r="W197" s="145">
        <f t="shared" si="374"/>
        <v>18635.88</v>
      </c>
      <c r="X197" s="145">
        <f t="shared" si="374"/>
        <v>9234.4699999999993</v>
      </c>
      <c r="Y197" s="145">
        <f t="shared" si="374"/>
        <v>12449.050000000001</v>
      </c>
      <c r="Z197" s="145">
        <f t="shared" si="374"/>
        <v>14888.420000000004</v>
      </c>
      <c r="AA197" s="145">
        <f t="shared" si="374"/>
        <v>18877.749999999996</v>
      </c>
      <c r="AB197" s="145">
        <f t="shared" si="374"/>
        <v>16044.770000000002</v>
      </c>
      <c r="AC197" s="145">
        <f t="shared" si="374"/>
        <v>11334.760000000007</v>
      </c>
      <c r="AD197" s="145">
        <f t="shared" si="374"/>
        <v>8095.3400000000056</v>
      </c>
      <c r="AE197" s="145">
        <f t="shared" si="374"/>
        <v>5665.6700000000037</v>
      </c>
      <c r="AF197" s="145">
        <f t="shared" si="374"/>
        <v>4275.6500000000015</v>
      </c>
      <c r="AG197" s="145">
        <f t="shared" si="374"/>
        <v>636.67999999999984</v>
      </c>
      <c r="AH197" s="145"/>
      <c r="AI197" s="145"/>
      <c r="AJ197" s="145"/>
      <c r="AK197" s="145">
        <f>SUM(AK93:AK196)</f>
        <v>208355.4299999997</v>
      </c>
      <c r="AL197" s="145">
        <f>SUM(AL93:AL196)</f>
        <v>208355.4299999997</v>
      </c>
    </row>
    <row r="198" spans="2:122" s="129" customFormat="1" ht="16.5" customHeight="1">
      <c r="B198" s="130" t="s">
        <v>926</v>
      </c>
      <c r="C198" s="124" t="s">
        <v>927</v>
      </c>
      <c r="D198" s="125" t="s">
        <v>928</v>
      </c>
      <c r="E198" s="126" t="s">
        <v>105</v>
      </c>
      <c r="F198" s="126" t="s">
        <v>929</v>
      </c>
      <c r="G198" s="127">
        <v>3205</v>
      </c>
      <c r="H198" s="127">
        <f>(G198*0.1)</f>
        <v>320.5</v>
      </c>
      <c r="I198" s="127">
        <f>(G198*0.9)</f>
        <v>2884.5</v>
      </c>
      <c r="J198" s="127">
        <v>0</v>
      </c>
      <c r="K198" s="127">
        <v>0</v>
      </c>
      <c r="L198" s="127">
        <v>0</v>
      </c>
      <c r="M198" s="127">
        <v>0</v>
      </c>
      <c r="N198" s="127">
        <v>0</v>
      </c>
      <c r="O198" s="127">
        <v>0</v>
      </c>
      <c r="P198" s="127">
        <v>0</v>
      </c>
      <c r="Q198" s="127">
        <v>0</v>
      </c>
      <c r="R198" s="127">
        <v>0</v>
      </c>
      <c r="S198" s="127">
        <v>0</v>
      </c>
      <c r="T198" s="127">
        <v>0</v>
      </c>
      <c r="U198" s="127">
        <v>0</v>
      </c>
      <c r="V198" s="127">
        <v>0</v>
      </c>
      <c r="W198" s="127">
        <v>0</v>
      </c>
      <c r="X198" s="127">
        <v>0</v>
      </c>
      <c r="Y198" s="127">
        <v>74.28</v>
      </c>
      <c r="Z198" s="127">
        <v>576.91</v>
      </c>
      <c r="AA198" s="127">
        <v>576.94000000000005</v>
      </c>
      <c r="AB198" s="127">
        <v>578.52</v>
      </c>
      <c r="AC198" s="127">
        <v>576.94000000000005</v>
      </c>
      <c r="AD198" s="127">
        <v>500.91</v>
      </c>
      <c r="AE198" s="127">
        <v>0</v>
      </c>
      <c r="AF198" s="128">
        <v>0</v>
      </c>
      <c r="AG198" s="127">
        <v>0</v>
      </c>
      <c r="AH198" s="127"/>
      <c r="AI198" s="127"/>
      <c r="AJ198" s="127"/>
      <c r="AK198" s="127">
        <f>SUM(Y198:AD198)</f>
        <v>2884.5</v>
      </c>
      <c r="AL198" s="128">
        <v>2884.5</v>
      </c>
    </row>
    <row r="199" spans="2:122" s="129" customFormat="1" ht="14.25" customHeight="1">
      <c r="B199" s="130" t="s">
        <v>50</v>
      </c>
      <c r="C199" s="124" t="s">
        <v>930</v>
      </c>
      <c r="D199" s="125" t="s">
        <v>931</v>
      </c>
      <c r="E199" s="126" t="s">
        <v>105</v>
      </c>
      <c r="F199" s="126" t="s">
        <v>932</v>
      </c>
      <c r="G199" s="127">
        <v>1130</v>
      </c>
      <c r="H199" s="127">
        <f>(G199*0.1)</f>
        <v>113</v>
      </c>
      <c r="I199" s="127">
        <f>(G199*0.9)</f>
        <v>1017</v>
      </c>
      <c r="J199" s="127">
        <v>0</v>
      </c>
      <c r="K199" s="127">
        <v>0</v>
      </c>
      <c r="L199" s="127">
        <v>0</v>
      </c>
      <c r="M199" s="127">
        <v>0</v>
      </c>
      <c r="N199" s="127">
        <v>0</v>
      </c>
      <c r="O199" s="127">
        <v>0</v>
      </c>
      <c r="P199" s="127">
        <v>0</v>
      </c>
      <c r="Q199" s="127">
        <v>0</v>
      </c>
      <c r="R199" s="127">
        <v>0</v>
      </c>
      <c r="S199" s="127">
        <v>0</v>
      </c>
      <c r="T199" s="127">
        <v>0</v>
      </c>
      <c r="U199" s="127">
        <v>0</v>
      </c>
      <c r="V199" s="127">
        <v>0</v>
      </c>
      <c r="W199" s="127">
        <v>0</v>
      </c>
      <c r="X199" s="127">
        <v>0</v>
      </c>
      <c r="Y199" s="127">
        <v>7.24</v>
      </c>
      <c r="Z199" s="127">
        <v>203.44</v>
      </c>
      <c r="AA199" s="127">
        <v>203.44</v>
      </c>
      <c r="AB199" s="127">
        <v>204</v>
      </c>
      <c r="AC199" s="127">
        <v>203.44</v>
      </c>
      <c r="AD199" s="127">
        <v>195.44</v>
      </c>
      <c r="AE199" s="127">
        <v>0</v>
      </c>
      <c r="AF199" s="128">
        <v>0</v>
      </c>
      <c r="AG199" s="127">
        <v>0</v>
      </c>
      <c r="AH199" s="127"/>
      <c r="AI199" s="127"/>
      <c r="AJ199" s="127"/>
      <c r="AK199" s="127">
        <f>SUM(Y199:AD199)</f>
        <v>1017</v>
      </c>
      <c r="AL199" s="127">
        <v>1017</v>
      </c>
    </row>
    <row r="200" spans="2:122" s="129" customFormat="1" ht="10.5" customHeight="1">
      <c r="B200" s="146" t="s">
        <v>511</v>
      </c>
      <c r="C200" s="142"/>
      <c r="D200" s="143"/>
      <c r="E200" s="144"/>
      <c r="F200" s="144"/>
      <c r="G200" s="145">
        <f>SUM(G198:G199)</f>
        <v>4335</v>
      </c>
      <c r="H200" s="145">
        <f t="shared" ref="H200:AL200" si="375">SUM(H198:H199)</f>
        <v>433.5</v>
      </c>
      <c r="I200" s="145">
        <f t="shared" si="375"/>
        <v>3901.5</v>
      </c>
      <c r="J200" s="145">
        <f t="shared" si="375"/>
        <v>0</v>
      </c>
      <c r="K200" s="145">
        <f t="shared" si="375"/>
        <v>0</v>
      </c>
      <c r="L200" s="145">
        <f t="shared" si="375"/>
        <v>0</v>
      </c>
      <c r="M200" s="145">
        <f t="shared" si="375"/>
        <v>0</v>
      </c>
      <c r="N200" s="145">
        <f t="shared" si="375"/>
        <v>0</v>
      </c>
      <c r="O200" s="145">
        <f t="shared" si="375"/>
        <v>0</v>
      </c>
      <c r="P200" s="145">
        <f t="shared" si="375"/>
        <v>0</v>
      </c>
      <c r="Q200" s="145">
        <f t="shared" si="375"/>
        <v>0</v>
      </c>
      <c r="R200" s="145">
        <f t="shared" si="375"/>
        <v>0</v>
      </c>
      <c r="S200" s="145">
        <f t="shared" si="375"/>
        <v>0</v>
      </c>
      <c r="T200" s="145">
        <f t="shared" si="375"/>
        <v>0</v>
      </c>
      <c r="U200" s="145">
        <f t="shared" si="375"/>
        <v>0</v>
      </c>
      <c r="V200" s="145">
        <f t="shared" si="375"/>
        <v>0</v>
      </c>
      <c r="W200" s="145">
        <f t="shared" si="375"/>
        <v>0</v>
      </c>
      <c r="X200" s="145">
        <f t="shared" si="375"/>
        <v>0</v>
      </c>
      <c r="Y200" s="145">
        <f t="shared" si="375"/>
        <v>81.52</v>
      </c>
      <c r="Z200" s="145">
        <f t="shared" si="375"/>
        <v>780.34999999999991</v>
      </c>
      <c r="AA200" s="145">
        <f t="shared" si="375"/>
        <v>780.38000000000011</v>
      </c>
      <c r="AB200" s="145">
        <f t="shared" si="375"/>
        <v>782.52</v>
      </c>
      <c r="AC200" s="145">
        <f t="shared" si="375"/>
        <v>780.38000000000011</v>
      </c>
      <c r="AD200" s="145">
        <f t="shared" si="375"/>
        <v>696.35</v>
      </c>
      <c r="AE200" s="145">
        <f t="shared" si="375"/>
        <v>0</v>
      </c>
      <c r="AF200" s="145">
        <f t="shared" si="375"/>
        <v>0</v>
      </c>
      <c r="AG200" s="145">
        <f t="shared" si="375"/>
        <v>0</v>
      </c>
      <c r="AH200" s="145"/>
      <c r="AI200" s="145"/>
      <c r="AJ200" s="145"/>
      <c r="AK200" s="145">
        <f t="shared" si="375"/>
        <v>3901.5</v>
      </c>
      <c r="AL200" s="145">
        <f t="shared" si="375"/>
        <v>3901.5</v>
      </c>
    </row>
    <row r="201" spans="2:122" ht="14.25" customHeight="1">
      <c r="B201" s="204" t="s">
        <v>933</v>
      </c>
      <c r="C201" s="205"/>
      <c r="D201" s="206"/>
      <c r="E201" s="207"/>
      <c r="F201" s="207"/>
      <c r="G201" s="208">
        <f t="shared" ref="G201:AG201" si="376">ROUND((G25+G39+G91+G197+G200),2)</f>
        <v>547610.16</v>
      </c>
      <c r="H201" s="208">
        <f t="shared" si="376"/>
        <v>54761.02</v>
      </c>
      <c r="I201" s="208">
        <f t="shared" si="376"/>
        <v>492850.02</v>
      </c>
      <c r="J201" s="208">
        <f t="shared" si="376"/>
        <v>0</v>
      </c>
      <c r="K201" s="208">
        <f t="shared" si="376"/>
        <v>417.3</v>
      </c>
      <c r="L201" s="208">
        <f t="shared" si="376"/>
        <v>503.37</v>
      </c>
      <c r="M201" s="208">
        <f t="shared" si="376"/>
        <v>558.1</v>
      </c>
      <c r="N201" s="208">
        <f t="shared" si="376"/>
        <v>633.16999999999996</v>
      </c>
      <c r="O201" s="208">
        <f t="shared" si="376"/>
        <v>661.91</v>
      </c>
      <c r="P201" s="208">
        <f t="shared" si="376"/>
        <v>4612.93</v>
      </c>
      <c r="Q201" s="208">
        <f t="shared" si="376"/>
        <v>42234.73</v>
      </c>
      <c r="R201" s="208">
        <f t="shared" si="376"/>
        <v>48611.41</v>
      </c>
      <c r="S201" s="208">
        <f t="shared" si="376"/>
        <v>55612.3</v>
      </c>
      <c r="T201" s="208">
        <f t="shared" si="376"/>
        <v>65519.55</v>
      </c>
      <c r="U201" s="208">
        <f t="shared" si="376"/>
        <v>15341.41</v>
      </c>
      <c r="V201" s="208">
        <f t="shared" si="376"/>
        <v>6991.95</v>
      </c>
      <c r="W201" s="208">
        <f t="shared" si="376"/>
        <v>21442.23</v>
      </c>
      <c r="X201" s="208">
        <f t="shared" si="376"/>
        <v>11643.64</v>
      </c>
      <c r="Y201" s="208">
        <f t="shared" si="376"/>
        <v>21143.54</v>
      </c>
      <c r="Z201" s="208">
        <f t="shared" si="376"/>
        <v>25552.87</v>
      </c>
      <c r="AA201" s="208">
        <f t="shared" si="376"/>
        <v>31348.58</v>
      </c>
      <c r="AB201" s="208">
        <f t="shared" si="376"/>
        <v>30715.39</v>
      </c>
      <c r="AC201" s="208">
        <f t="shared" si="376"/>
        <v>25768.400000000001</v>
      </c>
      <c r="AD201" s="208">
        <f t="shared" si="376"/>
        <v>15263.95</v>
      </c>
      <c r="AE201" s="208">
        <f t="shared" si="376"/>
        <v>10628.54</v>
      </c>
      <c r="AF201" s="208">
        <f t="shared" si="376"/>
        <v>7230.51</v>
      </c>
      <c r="AG201" s="208">
        <f t="shared" si="376"/>
        <v>636.67999999999995</v>
      </c>
      <c r="AH201" s="208"/>
      <c r="AI201" s="208"/>
      <c r="AJ201" s="208"/>
      <c r="AK201" s="208">
        <f>ROUND((AK25+AK39+AK91+AK197+AK200),2)</f>
        <v>492850.03</v>
      </c>
      <c r="AL201" s="208">
        <f>ROUND((AL25+AL39+AL91+AL197+AL200),2)</f>
        <v>492850.03</v>
      </c>
      <c r="DG201" s="209"/>
    </row>
    <row r="202" spans="2:122" ht="10.5" customHeight="1">
      <c r="B202" s="210"/>
      <c r="C202" s="211"/>
      <c r="D202" s="212"/>
      <c r="E202" s="213"/>
      <c r="F202" s="213"/>
      <c r="G202" s="214"/>
      <c r="H202" s="214"/>
      <c r="I202" s="214"/>
      <c r="J202" s="214"/>
      <c r="K202" s="214"/>
      <c r="L202" s="214"/>
      <c r="M202" s="214"/>
      <c r="N202" s="214"/>
      <c r="O202" s="214"/>
      <c r="P202" s="214"/>
      <c r="Q202" s="214"/>
      <c r="R202" s="214"/>
      <c r="S202" s="214"/>
      <c r="T202" s="214"/>
      <c r="U202" s="214"/>
      <c r="V202" s="214"/>
      <c r="W202" s="214"/>
      <c r="X202" s="214"/>
      <c r="Y202" s="214"/>
      <c r="Z202" s="214"/>
      <c r="AA202" s="214"/>
      <c r="AB202" s="214"/>
      <c r="AC202" s="214"/>
      <c r="AD202" s="214"/>
      <c r="AE202" s="214"/>
      <c r="AF202" s="215"/>
      <c r="AG202" s="214"/>
      <c r="AH202" s="214"/>
      <c r="AI202" s="214"/>
      <c r="AJ202" s="214"/>
      <c r="AK202" s="214"/>
      <c r="AL202" s="214"/>
    </row>
    <row r="203" spans="2:122" ht="10.5" customHeight="1">
      <c r="B203" s="210"/>
      <c r="C203" s="211"/>
      <c r="D203" s="212"/>
      <c r="E203" s="213"/>
      <c r="F203" s="213"/>
      <c r="G203" s="214"/>
      <c r="H203" s="214"/>
      <c r="I203" s="214"/>
      <c r="J203" s="214"/>
      <c r="K203" s="214"/>
      <c r="L203" s="214"/>
      <c r="M203" s="214"/>
      <c r="N203" s="214"/>
      <c r="O203" s="214"/>
      <c r="P203" s="214"/>
      <c r="Q203" s="214"/>
      <c r="R203" s="214"/>
      <c r="S203" s="214"/>
      <c r="T203" s="214"/>
      <c r="U203" s="214"/>
      <c r="V203" s="214"/>
      <c r="W203" s="214"/>
      <c r="X203" s="214"/>
      <c r="Y203" s="214"/>
      <c r="Z203" s="214"/>
      <c r="AA203" s="214"/>
      <c r="AB203" s="214"/>
      <c r="AC203" s="214"/>
      <c r="AD203" s="214"/>
      <c r="AE203" s="214"/>
      <c r="AF203" s="215"/>
      <c r="AG203" s="214"/>
      <c r="AH203" s="214"/>
      <c r="AI203" s="214"/>
      <c r="AJ203" s="214"/>
      <c r="AK203" s="214"/>
      <c r="AL203" s="214"/>
    </row>
    <row r="204" spans="2:122" ht="10.5" customHeight="1">
      <c r="B204" s="210"/>
      <c r="C204" s="211"/>
      <c r="D204" s="212"/>
      <c r="E204" s="213"/>
      <c r="F204" s="213"/>
      <c r="G204" s="214"/>
      <c r="H204" s="214"/>
      <c r="I204" s="214"/>
      <c r="J204" s="214"/>
      <c r="K204" s="214"/>
      <c r="L204" s="214"/>
      <c r="M204" s="214"/>
      <c r="N204" s="214"/>
      <c r="O204" s="214"/>
      <c r="P204" s="214"/>
      <c r="Q204" s="214"/>
      <c r="R204" s="214"/>
      <c r="S204" s="214"/>
      <c r="T204" s="214"/>
      <c r="U204" s="214"/>
      <c r="V204" s="214"/>
      <c r="W204" s="214"/>
      <c r="X204" s="214"/>
      <c r="Y204" s="214"/>
      <c r="Z204" s="214"/>
      <c r="AA204" s="214"/>
      <c r="AB204" s="214"/>
      <c r="AC204" s="214"/>
      <c r="AD204" s="214"/>
      <c r="AE204" s="214"/>
      <c r="AF204" s="215"/>
      <c r="AG204" s="214"/>
      <c r="AH204" s="214"/>
      <c r="AI204" s="214"/>
      <c r="AJ204" s="214"/>
      <c r="AK204" s="214"/>
      <c r="AL204" s="214"/>
    </row>
    <row r="205" spans="2:122" ht="9">
      <c r="B205" s="106"/>
      <c r="G205" s="231"/>
      <c r="H205" s="231"/>
      <c r="I205" s="231"/>
      <c r="J205" s="231"/>
      <c r="K205" s="231"/>
      <c r="L205" s="231"/>
      <c r="M205" s="231"/>
      <c r="N205" s="231"/>
      <c r="O205" s="231"/>
      <c r="P205" s="231"/>
      <c r="Q205" s="231"/>
      <c r="R205" s="231"/>
      <c r="S205" s="231"/>
      <c r="T205" s="231"/>
      <c r="U205" s="231"/>
      <c r="V205" s="231"/>
      <c r="W205" s="231"/>
      <c r="X205" s="231"/>
      <c r="Y205" s="231"/>
      <c r="Z205" s="231"/>
      <c r="AA205" s="231"/>
      <c r="AB205" s="231"/>
      <c r="AC205" s="231"/>
      <c r="AD205" s="231"/>
      <c r="AE205" s="231"/>
      <c r="AF205" s="216"/>
      <c r="AG205" s="231"/>
      <c r="AH205" s="231"/>
      <c r="AI205" s="231"/>
      <c r="AJ205" s="231"/>
      <c r="AK205" s="231"/>
    </row>
    <row r="206" spans="2:122" ht="9">
      <c r="B206" s="103" t="s">
        <v>458</v>
      </c>
      <c r="D206" s="103" t="s">
        <v>459</v>
      </c>
      <c r="G206" s="231"/>
      <c r="H206" s="272" t="s">
        <v>460</v>
      </c>
      <c r="I206" s="272"/>
      <c r="J206" s="231"/>
      <c r="K206" s="231"/>
      <c r="L206" s="231"/>
      <c r="M206" s="231"/>
      <c r="N206" s="231"/>
      <c r="O206" s="231"/>
      <c r="P206" s="231"/>
      <c r="Q206" s="231"/>
      <c r="R206" s="231"/>
      <c r="S206" s="231"/>
      <c r="T206" s="231"/>
      <c r="U206" s="231"/>
      <c r="V206" s="231"/>
      <c r="W206" s="231"/>
      <c r="X206" s="231"/>
      <c r="Y206" s="231"/>
      <c r="Z206" s="231"/>
      <c r="AA206" s="231"/>
      <c r="AB206" s="231"/>
      <c r="AC206" s="231"/>
      <c r="AD206" s="231"/>
      <c r="AE206" s="231"/>
      <c r="AF206" s="216"/>
      <c r="AG206" s="231"/>
      <c r="AH206" s="231"/>
      <c r="AI206" s="231"/>
      <c r="AJ206" s="231"/>
      <c r="AK206" s="231"/>
    </row>
    <row r="207" spans="2:122" ht="9.75" customHeight="1">
      <c r="B207" s="264" t="s">
        <v>934</v>
      </c>
      <c r="C207" s="268"/>
      <c r="D207" s="103" t="s">
        <v>462</v>
      </c>
      <c r="G207" s="231"/>
      <c r="H207" s="266" t="s">
        <v>935</v>
      </c>
      <c r="I207" s="269"/>
      <c r="J207" s="269"/>
      <c r="K207" s="269"/>
      <c r="L207" s="269"/>
      <c r="M207" s="269"/>
      <c r="N207" s="269"/>
      <c r="O207" s="269"/>
      <c r="P207" s="269"/>
      <c r="Q207" s="269"/>
      <c r="R207" s="269"/>
      <c r="S207" s="269"/>
      <c r="T207" s="269"/>
      <c r="U207" s="269"/>
      <c r="V207" s="269"/>
      <c r="W207" s="269"/>
      <c r="X207" s="269"/>
      <c r="Y207" s="269"/>
      <c r="Z207" s="269"/>
      <c r="AA207" s="269"/>
      <c r="AB207" s="269"/>
      <c r="AC207" s="269"/>
      <c r="AD207" s="269"/>
      <c r="AE207" s="269"/>
      <c r="AF207" s="269"/>
      <c r="AG207" s="269"/>
      <c r="AH207" s="269"/>
      <c r="AI207" s="269"/>
      <c r="AJ207" s="269"/>
      <c r="AK207" s="269"/>
    </row>
    <row r="208" spans="2:122" ht="9">
      <c r="B208" s="264" t="s">
        <v>464</v>
      </c>
      <c r="C208" s="265"/>
      <c r="D208" s="228" t="s">
        <v>465</v>
      </c>
      <c r="E208" s="230"/>
      <c r="F208" s="230"/>
      <c r="G208" s="230"/>
      <c r="H208" s="266" t="s">
        <v>466</v>
      </c>
      <c r="I208" s="266"/>
      <c r="J208" s="267"/>
      <c r="K208" s="267"/>
      <c r="L208" s="267"/>
      <c r="M208" s="267"/>
      <c r="N208" s="267"/>
      <c r="O208" s="267"/>
      <c r="P208" s="267"/>
      <c r="Q208" s="267"/>
      <c r="R208" s="267"/>
      <c r="S208" s="267"/>
      <c r="T208" s="267"/>
      <c r="U208" s="267"/>
      <c r="V208" s="267"/>
      <c r="W208" s="267"/>
      <c r="X208" s="267"/>
      <c r="Y208" s="267"/>
      <c r="Z208" s="267"/>
      <c r="AA208" s="267"/>
      <c r="AB208" s="267"/>
      <c r="AC208" s="267"/>
      <c r="AD208" s="267"/>
      <c r="AE208" s="267"/>
      <c r="AF208" s="267"/>
      <c r="AG208" s="267"/>
      <c r="AH208" s="267"/>
      <c r="AI208" s="267"/>
      <c r="AJ208" s="267"/>
      <c r="AK208" s="267"/>
    </row>
    <row r="209" spans="2:38" ht="9">
      <c r="B209" s="106"/>
      <c r="D209" s="229"/>
      <c r="G209" s="231"/>
      <c r="H209" s="231"/>
      <c r="I209" s="231"/>
      <c r="J209" s="231"/>
      <c r="K209" s="231"/>
      <c r="L209" s="231"/>
      <c r="M209" s="231"/>
      <c r="N209" s="231"/>
      <c r="O209" s="231"/>
      <c r="P209" s="231"/>
      <c r="Q209" s="231"/>
      <c r="R209" s="231"/>
      <c r="S209" s="231"/>
      <c r="T209" s="231"/>
      <c r="U209" s="231"/>
      <c r="V209" s="231"/>
      <c r="W209" s="231"/>
      <c r="X209" s="231"/>
      <c r="Y209" s="231"/>
      <c r="Z209" s="231"/>
      <c r="AA209" s="231"/>
      <c r="AB209" s="231"/>
      <c r="AC209" s="231"/>
      <c r="AD209" s="231"/>
      <c r="AE209" s="231"/>
      <c r="AF209" s="216"/>
      <c r="AG209" s="231"/>
      <c r="AH209" s="231"/>
      <c r="AI209" s="231"/>
      <c r="AJ209" s="231"/>
      <c r="AK209" s="231"/>
    </row>
    <row r="210" spans="2:38" ht="9">
      <c r="B210" s="106"/>
      <c r="D210" s="229"/>
      <c r="G210" s="231"/>
      <c r="H210" s="231"/>
      <c r="I210" s="231"/>
      <c r="J210" s="231"/>
      <c r="K210" s="231"/>
      <c r="L210" s="231"/>
      <c r="M210" s="231"/>
      <c r="N210" s="231"/>
      <c r="O210" s="231"/>
      <c r="P210" s="231"/>
      <c r="Q210" s="231"/>
      <c r="R210" s="231"/>
      <c r="S210" s="231"/>
      <c r="T210" s="231"/>
      <c r="U210" s="231"/>
      <c r="V210" s="231"/>
      <c r="W210" s="231"/>
      <c r="X210" s="231"/>
      <c r="Y210" s="231"/>
      <c r="Z210" s="231"/>
      <c r="AA210" s="231"/>
      <c r="AB210" s="231"/>
      <c r="AC210" s="231"/>
      <c r="AD210" s="231"/>
      <c r="AE210" s="231"/>
      <c r="AF210" s="216"/>
      <c r="AG210" s="231"/>
      <c r="AH210" s="231"/>
      <c r="AI210" s="231"/>
      <c r="AJ210" s="231"/>
      <c r="AK210" s="231"/>
    </row>
    <row r="211" spans="2:38" ht="9">
      <c r="B211" s="106"/>
      <c r="G211" s="231"/>
      <c r="H211" s="231"/>
      <c r="I211" s="231"/>
      <c r="J211" s="231"/>
      <c r="K211" s="231"/>
      <c r="L211" s="231"/>
      <c r="M211" s="231"/>
      <c r="N211" s="231"/>
      <c r="O211" s="231"/>
      <c r="P211" s="231"/>
      <c r="Q211" s="231"/>
      <c r="R211" s="231"/>
      <c r="S211" s="231"/>
      <c r="T211" s="231"/>
      <c r="U211" s="231"/>
      <c r="V211" s="231"/>
      <c r="W211" s="231"/>
      <c r="X211" s="231"/>
      <c r="Y211" s="231"/>
      <c r="Z211" s="231"/>
      <c r="AA211" s="231"/>
      <c r="AB211" s="231"/>
      <c r="AC211" s="231"/>
      <c r="AD211" s="231"/>
      <c r="AE211" s="231"/>
      <c r="AF211" s="216"/>
      <c r="AG211" s="231"/>
      <c r="AH211" s="231"/>
      <c r="AI211" s="231"/>
      <c r="AJ211" s="231"/>
      <c r="AK211" s="231"/>
    </row>
    <row r="212" spans="2:38" ht="9">
      <c r="B212" s="217"/>
      <c r="AG212" s="106"/>
      <c r="AH212" s="106"/>
      <c r="AI212" s="106"/>
      <c r="AJ212" s="106"/>
      <c r="AK212" s="106"/>
      <c r="AL212" s="106"/>
    </row>
    <row r="213" spans="2:38" ht="9">
      <c r="C213" s="106"/>
      <c r="D213" s="106"/>
      <c r="AG213" s="106"/>
      <c r="AH213" s="106"/>
      <c r="AI213" s="106"/>
      <c r="AJ213" s="106"/>
      <c r="AK213" s="106"/>
      <c r="AL213" s="106"/>
    </row>
    <row r="214" spans="2:38" ht="9">
      <c r="C214" s="106"/>
      <c r="D214" s="106"/>
      <c r="AG214" s="106"/>
      <c r="AH214" s="106"/>
      <c r="AI214" s="106"/>
      <c r="AJ214" s="106"/>
      <c r="AK214" s="106"/>
      <c r="AL214" s="106"/>
    </row>
    <row r="215" spans="2:38" ht="9">
      <c r="AG215" s="106"/>
      <c r="AH215" s="106"/>
      <c r="AI215" s="106"/>
      <c r="AJ215" s="106"/>
      <c r="AK215" s="106"/>
      <c r="AL215" s="106"/>
    </row>
    <row r="216" spans="2:38" ht="9">
      <c r="AG216" s="106"/>
      <c r="AH216" s="106"/>
      <c r="AI216" s="106"/>
      <c r="AJ216" s="106"/>
      <c r="AK216" s="106"/>
      <c r="AL216" s="106"/>
    </row>
    <row r="217" spans="2:38" ht="9">
      <c r="C217" s="106"/>
      <c r="D217" s="106"/>
      <c r="G217" s="107"/>
      <c r="AG217" s="106"/>
      <c r="AH217" s="106"/>
      <c r="AI217" s="106"/>
      <c r="AJ217" s="106"/>
      <c r="AK217" s="106"/>
      <c r="AL217" s="106"/>
    </row>
    <row r="218" spans="2:38" ht="9">
      <c r="C218" s="106"/>
      <c r="D218" s="106"/>
      <c r="G218" s="107"/>
      <c r="AG218" s="106"/>
      <c r="AH218" s="106"/>
      <c r="AI218" s="106"/>
      <c r="AJ218" s="106"/>
      <c r="AK218" s="106"/>
      <c r="AL218" s="106"/>
    </row>
    <row r="219" spans="2:38" ht="9">
      <c r="C219" s="106"/>
      <c r="D219" s="106"/>
      <c r="G219" s="107"/>
      <c r="AF219" s="104"/>
      <c r="AG219" s="106"/>
      <c r="AH219" s="106"/>
      <c r="AI219" s="106"/>
      <c r="AJ219" s="106"/>
      <c r="AK219" s="106"/>
      <c r="AL219" s="106"/>
    </row>
    <row r="220" spans="2:38" ht="9">
      <c r="AG220" s="106"/>
      <c r="AH220" s="106"/>
      <c r="AI220" s="106"/>
      <c r="AJ220" s="106"/>
      <c r="AK220" s="106"/>
      <c r="AL220" s="106"/>
    </row>
    <row r="221" spans="2:38" ht="9">
      <c r="C221" s="106"/>
      <c r="D221" s="106"/>
      <c r="G221" s="107"/>
      <c r="AF221" s="104"/>
      <c r="AG221" s="106"/>
      <c r="AH221" s="106"/>
      <c r="AI221" s="106"/>
      <c r="AJ221" s="106"/>
      <c r="AK221" s="106"/>
      <c r="AL221" s="106"/>
    </row>
    <row r="222" spans="2:38" ht="9">
      <c r="AG222" s="106"/>
      <c r="AH222" s="106"/>
      <c r="AI222" s="106"/>
      <c r="AJ222" s="106"/>
      <c r="AK222" s="106"/>
      <c r="AL222" s="106"/>
    </row>
    <row r="223" spans="2:38" ht="9">
      <c r="C223" s="106"/>
      <c r="D223" s="106"/>
      <c r="G223" s="107"/>
      <c r="AF223" s="104"/>
      <c r="AG223" s="106"/>
      <c r="AH223" s="106"/>
      <c r="AI223" s="106"/>
      <c r="AJ223" s="106"/>
      <c r="AK223" s="106"/>
      <c r="AL223" s="106"/>
    </row>
    <row r="224" spans="2:38" ht="9">
      <c r="AG224" s="106"/>
      <c r="AH224" s="106"/>
      <c r="AI224" s="106"/>
      <c r="AJ224" s="106"/>
      <c r="AK224" s="106"/>
      <c r="AL224" s="106"/>
    </row>
    <row r="225" spans="2:38" ht="9">
      <c r="AG225" s="106"/>
      <c r="AH225" s="106"/>
      <c r="AI225" s="106"/>
      <c r="AJ225" s="106"/>
      <c r="AK225" s="106"/>
      <c r="AL225" s="106"/>
    </row>
    <row r="226" spans="2:38" ht="9">
      <c r="AG226" s="106"/>
      <c r="AH226" s="106"/>
      <c r="AI226" s="106"/>
      <c r="AJ226" s="106"/>
      <c r="AK226" s="106"/>
      <c r="AL226" s="106"/>
    </row>
    <row r="227" spans="2:38" ht="9">
      <c r="AG227" s="106"/>
      <c r="AH227" s="106"/>
      <c r="AI227" s="106"/>
      <c r="AJ227" s="106"/>
      <c r="AK227" s="106"/>
      <c r="AL227" s="106"/>
    </row>
    <row r="228" spans="2:38" ht="9">
      <c r="B228" s="106"/>
      <c r="AG228" s="106"/>
      <c r="AH228" s="106"/>
      <c r="AI228" s="106"/>
      <c r="AJ228" s="106"/>
      <c r="AK228" s="106"/>
      <c r="AL228" s="106"/>
    </row>
    <row r="229" spans="2:38" ht="9">
      <c r="B229" s="106"/>
      <c r="AG229" s="106"/>
      <c r="AH229" s="106"/>
      <c r="AI229" s="106"/>
      <c r="AJ229" s="106"/>
      <c r="AK229" s="106"/>
      <c r="AL229" s="106"/>
    </row>
    <row r="230" spans="2:38" ht="9">
      <c r="B230" s="106"/>
      <c r="AG230" s="106"/>
      <c r="AH230" s="106"/>
      <c r="AI230" s="106"/>
      <c r="AJ230" s="106"/>
      <c r="AK230" s="106"/>
      <c r="AL230" s="106"/>
    </row>
    <row r="231" spans="2:38" ht="9">
      <c r="B231" s="106"/>
      <c r="AG231" s="106"/>
      <c r="AH231" s="106"/>
      <c r="AI231" s="106"/>
      <c r="AJ231" s="106"/>
      <c r="AK231" s="106"/>
      <c r="AL231" s="106"/>
    </row>
    <row r="232" spans="2:38" ht="9">
      <c r="B232" s="106"/>
      <c r="AG232" s="106"/>
      <c r="AH232" s="106"/>
      <c r="AI232" s="106"/>
      <c r="AJ232" s="106"/>
      <c r="AK232" s="106"/>
      <c r="AL232" s="106"/>
    </row>
    <row r="233" spans="2:38" ht="9">
      <c r="B233" s="106"/>
      <c r="AG233" s="106"/>
      <c r="AH233" s="106"/>
      <c r="AI233" s="106"/>
      <c r="AJ233" s="106"/>
      <c r="AK233" s="106"/>
      <c r="AL233" s="106"/>
    </row>
    <row r="234" spans="2:38" ht="9">
      <c r="B234" s="106"/>
      <c r="AG234" s="106"/>
      <c r="AH234" s="106"/>
      <c r="AI234" s="106"/>
      <c r="AJ234" s="106"/>
      <c r="AK234" s="106"/>
      <c r="AL234" s="106"/>
    </row>
    <row r="235" spans="2:38" ht="9">
      <c r="B235" s="106"/>
      <c r="AG235" s="106"/>
      <c r="AH235" s="106"/>
      <c r="AI235" s="106"/>
      <c r="AJ235" s="106"/>
      <c r="AK235" s="106"/>
      <c r="AL235" s="106"/>
    </row>
    <row r="236" spans="2:38" ht="9">
      <c r="B236" s="106"/>
      <c r="AG236" s="106"/>
      <c r="AH236" s="106"/>
      <c r="AI236" s="106"/>
      <c r="AJ236" s="106"/>
      <c r="AK236" s="106"/>
      <c r="AL236" s="106"/>
    </row>
    <row r="237" spans="2:38" ht="9">
      <c r="B237" s="106"/>
      <c r="AG237" s="106"/>
      <c r="AH237" s="106"/>
      <c r="AI237" s="106"/>
      <c r="AJ237" s="106"/>
      <c r="AK237" s="106"/>
      <c r="AL237" s="106"/>
    </row>
    <row r="238" spans="2:38" ht="9">
      <c r="B238" s="106"/>
      <c r="AG238" s="106"/>
      <c r="AH238" s="106"/>
      <c r="AI238" s="106"/>
      <c r="AJ238" s="106"/>
      <c r="AK238" s="106"/>
      <c r="AL238" s="106"/>
    </row>
    <row r="239" spans="2:38" ht="9">
      <c r="B239" s="106"/>
      <c r="C239" s="106"/>
      <c r="D239" s="106"/>
      <c r="AF239" s="104"/>
      <c r="AG239" s="106"/>
      <c r="AH239" s="106"/>
      <c r="AI239" s="106"/>
      <c r="AJ239" s="106"/>
      <c r="AK239" s="106"/>
      <c r="AL239" s="106"/>
    </row>
    <row r="240" spans="2:38" ht="9">
      <c r="B240" s="106"/>
      <c r="C240" s="106"/>
      <c r="D240" s="106"/>
      <c r="AF240" s="104"/>
      <c r="AG240" s="106"/>
      <c r="AH240" s="106"/>
      <c r="AI240" s="106"/>
      <c r="AJ240" s="106"/>
      <c r="AK240" s="106"/>
      <c r="AL240" s="106"/>
    </row>
    <row r="241" spans="2:38" ht="9">
      <c r="B241" s="106"/>
      <c r="C241" s="106"/>
      <c r="D241" s="106"/>
      <c r="AF241" s="104"/>
      <c r="AG241" s="106"/>
      <c r="AH241" s="106"/>
      <c r="AI241" s="106"/>
      <c r="AJ241" s="106"/>
      <c r="AK241" s="106"/>
      <c r="AL241" s="106"/>
    </row>
    <row r="242" spans="2:38" ht="9">
      <c r="B242" s="106"/>
      <c r="C242" s="106"/>
      <c r="D242" s="106"/>
      <c r="AF242" s="104"/>
      <c r="AG242" s="106"/>
      <c r="AH242" s="106"/>
      <c r="AI242" s="106"/>
      <c r="AJ242" s="106"/>
      <c r="AK242" s="106"/>
      <c r="AL242" s="106"/>
    </row>
    <row r="243" spans="2:38" ht="9">
      <c r="B243" s="106"/>
      <c r="C243" s="106"/>
      <c r="D243" s="106"/>
      <c r="AF243" s="104"/>
      <c r="AG243" s="106"/>
      <c r="AH243" s="106"/>
      <c r="AI243" s="106"/>
      <c r="AJ243" s="106"/>
      <c r="AK243" s="106"/>
      <c r="AL243" s="106"/>
    </row>
    <row r="244" spans="2:38" ht="9">
      <c r="B244" s="106"/>
      <c r="C244" s="106"/>
      <c r="D244" s="106"/>
      <c r="AF244" s="104"/>
      <c r="AG244" s="106"/>
      <c r="AH244" s="106"/>
      <c r="AI244" s="106"/>
      <c r="AJ244" s="106"/>
      <c r="AK244" s="106"/>
      <c r="AL244" s="106"/>
    </row>
    <row r="245" spans="2:38" ht="9">
      <c r="B245" s="106"/>
      <c r="C245" s="106"/>
      <c r="D245" s="106"/>
      <c r="AF245" s="104"/>
      <c r="AG245" s="106"/>
      <c r="AH245" s="106"/>
      <c r="AI245" s="106"/>
      <c r="AJ245" s="106"/>
      <c r="AK245" s="106"/>
      <c r="AL245" s="106"/>
    </row>
    <row r="246" spans="2:38" ht="9">
      <c r="B246" s="106"/>
      <c r="C246" s="106"/>
      <c r="D246" s="106"/>
      <c r="AF246" s="104"/>
      <c r="AG246" s="106"/>
      <c r="AH246" s="106"/>
      <c r="AI246" s="106"/>
      <c r="AJ246" s="106"/>
      <c r="AK246" s="106"/>
      <c r="AL246" s="106"/>
    </row>
    <row r="247" spans="2:38" ht="9">
      <c r="B247" s="106"/>
      <c r="C247" s="106"/>
      <c r="D247" s="106"/>
      <c r="AF247" s="104"/>
      <c r="AG247" s="106"/>
      <c r="AH247" s="106"/>
      <c r="AI247" s="106"/>
      <c r="AJ247" s="106"/>
      <c r="AK247" s="106"/>
      <c r="AL247" s="106"/>
    </row>
    <row r="248" spans="2:38" ht="10.5" customHeight="1">
      <c r="B248" s="106"/>
      <c r="C248" s="106"/>
      <c r="D248" s="106"/>
      <c r="AF248" s="104"/>
      <c r="AG248" s="106"/>
      <c r="AH248" s="106"/>
      <c r="AI248" s="106"/>
      <c r="AJ248" s="106"/>
      <c r="AK248" s="106"/>
      <c r="AL248" s="106"/>
    </row>
  </sheetData>
  <mergeCells count="7">
    <mergeCell ref="B208:C208"/>
    <mergeCell ref="H208:AK208"/>
    <mergeCell ref="B207:C207"/>
    <mergeCell ref="H207:AK207"/>
    <mergeCell ref="B4:C4"/>
    <mergeCell ref="B5:AL5"/>
    <mergeCell ref="H206:I206"/>
  </mergeCells>
  <printOptions horizontalCentered="1"/>
  <pageMargins left="6.4960630000000005E-2" right="6.4960630000000005E-2" top="0.55118110236220497" bottom="0.35433070900000002" header="0.31496062992126" footer="0.31496062992126"/>
  <pageSetup paperSize="9" fitToHeight="0" orientation="landscape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ACTIVO FIJO JUNIO- 2018</vt:lpstr>
      <vt:lpstr>ACT. FIJO YA DEPRE. JUNIO 2018</vt:lpstr>
      <vt:lpstr>'ACT. FIJO YA DEPRE. JUNIO 2018'!Área_de_impresión</vt:lpstr>
      <vt:lpstr>'ACTIVO FIJO JUNIO- 2018'!Área_de_impresión</vt:lpstr>
      <vt:lpstr>'ACT. FIJO YA DEPRE. JUNIO 2018'!Print_Area</vt:lpstr>
      <vt:lpstr>'ACT. FIJO YA DEPRE. JUNIO 2018'!Print_Titles</vt:lpstr>
      <vt:lpstr>'ACT. FIJO YA DEPRE. JUNIO 2018'!Títulos_a_imprimir</vt:lpstr>
      <vt:lpstr>'ACTIVO FIJO JUNIO- 2018'!Títulos_a_imprimir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Benitez</dc:creator>
  <cp:lastModifiedBy>Cecy M3</cp:lastModifiedBy>
  <cp:lastPrinted>2018-07-27T07:39:26Z</cp:lastPrinted>
  <dcterms:created xsi:type="dcterms:W3CDTF">2018-04-16T17:37:05Z</dcterms:created>
  <dcterms:modified xsi:type="dcterms:W3CDTF">2018-07-27T07:39:37Z</dcterms:modified>
</cp:coreProperties>
</file>