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3040" windowHeight="9372"/>
  </bookViews>
  <sheets>
    <sheet name="dep. a junio 2023 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3" i="4" l="1"/>
  <c r="AL135" i="4"/>
  <c r="AL134" i="4"/>
  <c r="AM134" i="4"/>
  <c r="AN134" i="4" s="1"/>
  <c r="AL133" i="4"/>
  <c r="AM133" i="4"/>
  <c r="AN133" i="4"/>
  <c r="AL132" i="4"/>
  <c r="AM132" i="4" s="1"/>
  <c r="AN132" i="4" s="1"/>
  <c r="AL131" i="4"/>
  <c r="AL130" i="4"/>
  <c r="AM130" i="4"/>
  <c r="AN130" i="4" s="1"/>
  <c r="AL129" i="4"/>
  <c r="AM129" i="4"/>
  <c r="AN129" i="4"/>
  <c r="AL128" i="4"/>
  <c r="AL127" i="4"/>
  <c r="AM127" i="4"/>
  <c r="AN127" i="4"/>
  <c r="AL126" i="4"/>
  <c r="AM126" i="4" s="1"/>
  <c r="AL125" i="4"/>
  <c r="AM125" i="4"/>
  <c r="AN125" i="4" s="1"/>
  <c r="AL124" i="4"/>
  <c r="AL123" i="4"/>
  <c r="AL122" i="4"/>
  <c r="AM122" i="4" s="1"/>
  <c r="AN122" i="4" s="1"/>
  <c r="AL121" i="4"/>
  <c r="AM121" i="4"/>
  <c r="AN121" i="4" s="1"/>
  <c r="AL120" i="4"/>
  <c r="AL119" i="4"/>
  <c r="AM119" i="4"/>
  <c r="AN119" i="4" s="1"/>
  <c r="AL118" i="4"/>
  <c r="AM118" i="4"/>
  <c r="AN118" i="4"/>
  <c r="AL117" i="4"/>
  <c r="AM117" i="4" s="1"/>
  <c r="AN117" i="4" s="1"/>
  <c r="AL116" i="4"/>
  <c r="AL115" i="4"/>
  <c r="AM115" i="4" s="1"/>
  <c r="AL114" i="4"/>
  <c r="AM114" i="4"/>
  <c r="AN114" i="4"/>
  <c r="AL102" i="4"/>
  <c r="AM102" i="4" s="1"/>
  <c r="AN102" i="4" s="1"/>
  <c r="AL101" i="4"/>
  <c r="AM101" i="4" s="1"/>
  <c r="AN101" i="4" s="1"/>
  <c r="AL100" i="4"/>
  <c r="AM100" i="4" s="1"/>
  <c r="AN100" i="4" s="1"/>
  <c r="AL99" i="4"/>
  <c r="AL98" i="4"/>
  <c r="AM98" i="4" s="1"/>
  <c r="AN98" i="4" s="1"/>
  <c r="AL97" i="4"/>
  <c r="AM97" i="4" s="1"/>
  <c r="AN97" i="4" s="1"/>
  <c r="T102" i="4"/>
  <c r="T101" i="4"/>
  <c r="T100" i="4"/>
  <c r="T99" i="4"/>
  <c r="T98" i="4"/>
  <c r="T97" i="4"/>
  <c r="L137" i="4"/>
  <c r="AM135" i="4"/>
  <c r="AN135" i="4"/>
  <c r="M135" i="4"/>
  <c r="N135" i="4"/>
  <c r="O135" i="4" s="1"/>
  <c r="M134" i="4"/>
  <c r="N134" i="4"/>
  <c r="O134" i="4"/>
  <c r="P134" i="4" s="1"/>
  <c r="M133" i="4"/>
  <c r="N133" i="4"/>
  <c r="O133" i="4" s="1"/>
  <c r="P133" i="4" s="1"/>
  <c r="M132" i="4"/>
  <c r="N132" i="4"/>
  <c r="O132" i="4" s="1"/>
  <c r="AM131" i="4"/>
  <c r="AN131" i="4" s="1"/>
  <c r="M131" i="4"/>
  <c r="N131" i="4" s="1"/>
  <c r="O131" i="4" s="1"/>
  <c r="S131" i="4" s="1"/>
  <c r="M130" i="4"/>
  <c r="N130" i="4"/>
  <c r="O130" i="4" s="1"/>
  <c r="M129" i="4"/>
  <c r="N129" i="4"/>
  <c r="O129" i="4"/>
  <c r="AM128" i="4"/>
  <c r="AN128" i="4" s="1"/>
  <c r="M128" i="4"/>
  <c r="N128" i="4"/>
  <c r="O128" i="4"/>
  <c r="M127" i="4"/>
  <c r="N127" i="4"/>
  <c r="O127" i="4" s="1"/>
  <c r="S127" i="4"/>
  <c r="AN126" i="4"/>
  <c r="M126" i="4"/>
  <c r="N126" i="4" s="1"/>
  <c r="O126" i="4"/>
  <c r="M125" i="4"/>
  <c r="N125" i="4" s="1"/>
  <c r="O125" i="4" s="1"/>
  <c r="S125" i="4" s="1"/>
  <c r="AM124" i="4"/>
  <c r="AN124" i="4" s="1"/>
  <c r="M124" i="4"/>
  <c r="N124" i="4"/>
  <c r="O124" i="4"/>
  <c r="AM123" i="4"/>
  <c r="AN123" i="4"/>
  <c r="M123" i="4"/>
  <c r="N123" i="4" s="1"/>
  <c r="O123" i="4"/>
  <c r="S123" i="4" s="1"/>
  <c r="M122" i="4"/>
  <c r="N122" i="4"/>
  <c r="O122" i="4" s="1"/>
  <c r="P122" i="4"/>
  <c r="M121" i="4"/>
  <c r="N121" i="4" s="1"/>
  <c r="O121" i="4" s="1"/>
  <c r="S121" i="4" s="1"/>
  <c r="AM120" i="4"/>
  <c r="AN120" i="4"/>
  <c r="M120" i="4"/>
  <c r="N120" i="4" s="1"/>
  <c r="O120" i="4" s="1"/>
  <c r="M119" i="4"/>
  <c r="N119" i="4"/>
  <c r="O119" i="4" s="1"/>
  <c r="M118" i="4"/>
  <c r="N118" i="4" s="1"/>
  <c r="O118" i="4" s="1"/>
  <c r="M117" i="4"/>
  <c r="N117" i="4"/>
  <c r="O117" i="4" s="1"/>
  <c r="AM116" i="4"/>
  <c r="AN116" i="4" s="1"/>
  <c r="M116" i="4"/>
  <c r="N116" i="4"/>
  <c r="O116" i="4" s="1"/>
  <c r="AN115" i="4"/>
  <c r="M115" i="4"/>
  <c r="N115" i="4"/>
  <c r="O115" i="4" s="1"/>
  <c r="M114" i="4"/>
  <c r="N114" i="4"/>
  <c r="O114" i="4" s="1"/>
  <c r="P114" i="4"/>
  <c r="AM113" i="4"/>
  <c r="AN113" i="4"/>
  <c r="M113" i="4"/>
  <c r="N113" i="4"/>
  <c r="O113" i="4" s="1"/>
  <c r="S113" i="4" s="1"/>
  <c r="M102" i="4"/>
  <c r="N102" i="4"/>
  <c r="O102" i="4" s="1"/>
  <c r="Q102" i="4" s="1"/>
  <c r="M101" i="4"/>
  <c r="N101" i="4"/>
  <c r="O101" i="4" s="1"/>
  <c r="P101" i="4" s="1"/>
  <c r="M100" i="4"/>
  <c r="N100" i="4"/>
  <c r="O100" i="4"/>
  <c r="AM99" i="4"/>
  <c r="AN99" i="4"/>
  <c r="M99" i="4"/>
  <c r="N99" i="4" s="1"/>
  <c r="O99" i="4"/>
  <c r="P99" i="4" s="1"/>
  <c r="M98" i="4"/>
  <c r="N98" i="4"/>
  <c r="O98" i="4" s="1"/>
  <c r="M97" i="4"/>
  <c r="N97" i="4"/>
  <c r="O97" i="4" s="1"/>
  <c r="AK96" i="4"/>
  <c r="AL96" i="4" s="1"/>
  <c r="AM96" i="4"/>
  <c r="AN96" i="4"/>
  <c r="M96" i="4"/>
  <c r="N96" i="4"/>
  <c r="O96" i="4"/>
  <c r="P96" i="4"/>
  <c r="Q96" i="4" s="1"/>
  <c r="AK95" i="4"/>
  <c r="M95" i="4"/>
  <c r="N95" i="4"/>
  <c r="O95" i="4" s="1"/>
  <c r="P95" i="4"/>
  <c r="Q95" i="4" s="1"/>
  <c r="AK94" i="4"/>
  <c r="AL94" i="4" s="1"/>
  <c r="M94" i="4"/>
  <c r="N94" i="4"/>
  <c r="O94" i="4" s="1"/>
  <c r="P94" i="4" s="1"/>
  <c r="Q94" i="4" s="1"/>
  <c r="AK93" i="4"/>
  <c r="AL93" i="4"/>
  <c r="M93" i="4"/>
  <c r="N93" i="4"/>
  <c r="O93" i="4" s="1"/>
  <c r="P93" i="4"/>
  <c r="Q93" i="4" s="1"/>
  <c r="AK92" i="4"/>
  <c r="M92" i="4"/>
  <c r="N92" i="4"/>
  <c r="O92" i="4" s="1"/>
  <c r="P92" i="4" s="1"/>
  <c r="Q92" i="4" s="1"/>
  <c r="AK91" i="4"/>
  <c r="AL91" i="4"/>
  <c r="M91" i="4"/>
  <c r="N91" i="4"/>
  <c r="O91" i="4"/>
  <c r="P91" i="4" s="1"/>
  <c r="Q91" i="4" s="1"/>
  <c r="AK90" i="4"/>
  <c r="AL90" i="4"/>
  <c r="M90" i="4"/>
  <c r="N90" i="4"/>
  <c r="O90" i="4" s="1"/>
  <c r="P90" i="4"/>
  <c r="Q90" i="4"/>
  <c r="AK89" i="4"/>
  <c r="AL89" i="4" s="1"/>
  <c r="AM89" i="4"/>
  <c r="AN89" i="4"/>
  <c r="M89" i="4"/>
  <c r="N89" i="4" s="1"/>
  <c r="O89" i="4" s="1"/>
  <c r="P89" i="4" s="1"/>
  <c r="Q89" i="4" s="1"/>
  <c r="AK88" i="4"/>
  <c r="M88" i="4"/>
  <c r="N88" i="4"/>
  <c r="O88" i="4"/>
  <c r="P88" i="4" s="1"/>
  <c r="Q88" i="4" s="1"/>
  <c r="AK87" i="4"/>
  <c r="M87" i="4"/>
  <c r="N87" i="4"/>
  <c r="O87" i="4"/>
  <c r="P87" i="4" s="1"/>
  <c r="Q87" i="4" s="1"/>
  <c r="AK86" i="4"/>
  <c r="AL86" i="4"/>
  <c r="M86" i="4"/>
  <c r="N86" i="4"/>
  <c r="O86" i="4" s="1"/>
  <c r="P86" i="4"/>
  <c r="Q86" i="4"/>
  <c r="AK85" i="4"/>
  <c r="AL85" i="4" s="1"/>
  <c r="AM85" i="4"/>
  <c r="AN85" i="4"/>
  <c r="M85" i="4"/>
  <c r="N85" i="4" s="1"/>
  <c r="O85" i="4" s="1"/>
  <c r="P85" i="4" s="1"/>
  <c r="Q85" i="4" s="1"/>
  <c r="AK84" i="4"/>
  <c r="AL84" i="4"/>
  <c r="AM84" i="4"/>
  <c r="AN84" i="4"/>
  <c r="M84" i="4"/>
  <c r="N84" i="4"/>
  <c r="O84" i="4"/>
  <c r="P84" i="4"/>
  <c r="Q84" i="4" s="1"/>
  <c r="AI83" i="4"/>
  <c r="M83" i="4"/>
  <c r="N83" i="4"/>
  <c r="O83" i="4" s="1"/>
  <c r="AJ83" i="4"/>
  <c r="AK83" i="4"/>
  <c r="AL83" i="4" s="1"/>
  <c r="AI82" i="4"/>
  <c r="M82" i="4"/>
  <c r="N82" i="4"/>
  <c r="O82" i="4" s="1"/>
  <c r="AJ82" i="4" s="1"/>
  <c r="AK82" i="4" s="1"/>
  <c r="AL82" i="4" s="1"/>
  <c r="AI81" i="4"/>
  <c r="M81" i="4"/>
  <c r="N81" i="4"/>
  <c r="O81" i="4"/>
  <c r="AJ81" i="4" s="1"/>
  <c r="AI80" i="4"/>
  <c r="M80" i="4"/>
  <c r="N80" i="4" s="1"/>
  <c r="O80" i="4" s="1"/>
  <c r="AJ80" i="4" s="1"/>
  <c r="AI79" i="4"/>
  <c r="M79" i="4"/>
  <c r="N79" i="4"/>
  <c r="O79" i="4" s="1"/>
  <c r="AJ79" i="4" s="1"/>
  <c r="AI78" i="4"/>
  <c r="M78" i="4"/>
  <c r="N78" i="4" s="1"/>
  <c r="O78" i="4"/>
  <c r="AJ78" i="4" s="1"/>
  <c r="AK78" i="4" s="1"/>
  <c r="AL78" i="4" s="1"/>
  <c r="AI77" i="4"/>
  <c r="M77" i="4"/>
  <c r="N77" i="4" s="1"/>
  <c r="O77" i="4" s="1"/>
  <c r="AJ77" i="4" s="1"/>
  <c r="AK77" i="4" s="1"/>
  <c r="AI62" i="4"/>
  <c r="M62" i="4"/>
  <c r="N62" i="4" s="1"/>
  <c r="O62" i="4" s="1"/>
  <c r="AJ62" i="4" s="1"/>
  <c r="AK62" i="4" s="1"/>
  <c r="AI61" i="4"/>
  <c r="M61" i="4"/>
  <c r="N61" i="4" s="1"/>
  <c r="O61" i="4" s="1"/>
  <c r="AJ61" i="4" s="1"/>
  <c r="AK61" i="4" s="1"/>
  <c r="AL61" i="4" s="1"/>
  <c r="AI60" i="4"/>
  <c r="M60" i="4"/>
  <c r="N60" i="4" s="1"/>
  <c r="O60" i="4" s="1"/>
  <c r="AJ60" i="4" s="1"/>
  <c r="AK60" i="4" s="1"/>
  <c r="AI59" i="4"/>
  <c r="M59" i="4"/>
  <c r="N59" i="4"/>
  <c r="O59" i="4"/>
  <c r="AJ59" i="4" s="1"/>
  <c r="AK59" i="4"/>
  <c r="AI58" i="4"/>
  <c r="M58" i="4"/>
  <c r="N58" i="4" s="1"/>
  <c r="O58" i="4" s="1"/>
  <c r="AJ58" i="4" s="1"/>
  <c r="AK58" i="4" s="1"/>
  <c r="AL58" i="4" s="1"/>
  <c r="AI57" i="4"/>
  <c r="M57" i="4"/>
  <c r="N57" i="4" s="1"/>
  <c r="O57" i="4" s="1"/>
  <c r="AJ57" i="4" s="1"/>
  <c r="AK57" i="4" s="1"/>
  <c r="M56" i="4"/>
  <c r="N56" i="4"/>
  <c r="O56" i="4" s="1"/>
  <c r="AJ56" i="4" s="1"/>
  <c r="AK56" i="4" s="1"/>
  <c r="AL56" i="4" s="1"/>
  <c r="M55" i="4"/>
  <c r="N55" i="4" s="1"/>
  <c r="O55" i="4"/>
  <c r="AJ55" i="4" s="1"/>
  <c r="AK55" i="4" s="1"/>
  <c r="M54" i="4"/>
  <c r="N54" i="4"/>
  <c r="O54" i="4" s="1"/>
  <c r="AJ54" i="4"/>
  <c r="AK54" i="4"/>
  <c r="AL54" i="4" s="1"/>
  <c r="M53" i="4"/>
  <c r="N53" i="4" s="1"/>
  <c r="O53" i="4"/>
  <c r="AJ53" i="4"/>
  <c r="AK53" i="4"/>
  <c r="M52" i="4"/>
  <c r="N52" i="4"/>
  <c r="O52" i="4"/>
  <c r="AJ52" i="4"/>
  <c r="AK52" i="4" s="1"/>
  <c r="P51" i="4"/>
  <c r="M51" i="4"/>
  <c r="N51" i="4"/>
  <c r="O51" i="4" s="1"/>
  <c r="AJ51" i="4"/>
  <c r="AK51" i="4" s="1"/>
  <c r="M50" i="4"/>
  <c r="N50" i="4" s="1"/>
  <c r="O50" i="4" s="1"/>
  <c r="AJ50" i="4" s="1"/>
  <c r="AK50" i="4" s="1"/>
  <c r="M49" i="4"/>
  <c r="N49" i="4"/>
  <c r="O49" i="4"/>
  <c r="M48" i="4"/>
  <c r="N48" i="4"/>
  <c r="O48" i="4" s="1"/>
  <c r="AJ48" i="4"/>
  <c r="AK48" i="4" s="1"/>
  <c r="M47" i="4"/>
  <c r="N47" i="4" s="1"/>
  <c r="O47" i="4"/>
  <c r="AJ47" i="4"/>
  <c r="AK47" i="4" s="1"/>
  <c r="M46" i="4"/>
  <c r="N46" i="4" s="1"/>
  <c r="O46" i="4" s="1"/>
  <c r="AJ46" i="4" s="1"/>
  <c r="AK46" i="4" s="1"/>
  <c r="M45" i="4"/>
  <c r="N45" i="4"/>
  <c r="O45" i="4"/>
  <c r="AJ45" i="4"/>
  <c r="AK45" i="4" s="1"/>
  <c r="M44" i="4"/>
  <c r="N44" i="4" s="1"/>
  <c r="O44" i="4" s="1"/>
  <c r="AJ44" i="4" s="1"/>
  <c r="AK44" i="4" s="1"/>
  <c r="M43" i="4"/>
  <c r="N43" i="4" s="1"/>
  <c r="O43" i="4" s="1"/>
  <c r="P43" i="4" s="1"/>
  <c r="M42" i="4"/>
  <c r="N42" i="4" s="1"/>
  <c r="O42" i="4"/>
  <c r="M41" i="4"/>
  <c r="N41" i="4"/>
  <c r="O41" i="4" s="1"/>
  <c r="M34" i="4"/>
  <c r="N34" i="4" s="1"/>
  <c r="O34" i="4" s="1"/>
  <c r="AJ34" i="4" s="1"/>
  <c r="AK34" i="4" s="1"/>
  <c r="M33" i="4"/>
  <c r="N33" i="4"/>
  <c r="O33" i="4" s="1"/>
  <c r="AJ33" i="4" s="1"/>
  <c r="AK33" i="4" s="1"/>
  <c r="M32" i="4"/>
  <c r="N32" i="4"/>
  <c r="O32" i="4" s="1"/>
  <c r="AK31" i="4"/>
  <c r="AL31" i="4" s="1"/>
  <c r="AM31" i="4" s="1"/>
  <c r="AN31" i="4" s="1"/>
  <c r="M31" i="4"/>
  <c r="N31" i="4" s="1"/>
  <c r="O31" i="4"/>
  <c r="P31" i="4" s="1"/>
  <c r="AK30" i="4"/>
  <c r="AL30" i="4" s="1"/>
  <c r="M30" i="4"/>
  <c r="N30" i="4" s="1"/>
  <c r="O30" i="4" s="1"/>
  <c r="P30" i="4" s="1"/>
  <c r="AK29" i="4"/>
  <c r="AL29" i="4" s="1"/>
  <c r="M29" i="4"/>
  <c r="N29" i="4"/>
  <c r="O29" i="4" s="1"/>
  <c r="P29" i="4" s="1"/>
  <c r="AK28" i="4"/>
  <c r="AK27" i="4"/>
  <c r="AL27" i="4" s="1"/>
  <c r="AK26" i="4"/>
  <c r="AL26" i="4" s="1"/>
  <c r="AM26" i="4"/>
  <c r="AN26" i="4" s="1"/>
  <c r="AK25" i="4"/>
  <c r="M25" i="4"/>
  <c r="N25" i="4"/>
  <c r="M24" i="4"/>
  <c r="N24" i="4" s="1"/>
  <c r="O24" i="4" s="1"/>
  <c r="AJ24" i="4" s="1"/>
  <c r="AK24" i="4" s="1"/>
  <c r="M23" i="4"/>
  <c r="N23" i="4" s="1"/>
  <c r="O23" i="4"/>
  <c r="AJ23" i="4" s="1"/>
  <c r="AK23" i="4" s="1"/>
  <c r="M22" i="4"/>
  <c r="N22" i="4"/>
  <c r="O22" i="4" s="1"/>
  <c r="AJ22" i="4" s="1"/>
  <c r="AK22" i="4" s="1"/>
  <c r="AL22" i="4" s="1"/>
  <c r="M21" i="4"/>
  <c r="N21" i="4"/>
  <c r="O21" i="4" s="1"/>
  <c r="AJ21" i="4" s="1"/>
  <c r="AK21" i="4" s="1"/>
  <c r="AK20" i="4"/>
  <c r="M20" i="4"/>
  <c r="N20" i="4" s="1"/>
  <c r="O20" i="4"/>
  <c r="AK19" i="4"/>
  <c r="AL19" i="4" s="1"/>
  <c r="AM19" i="4" s="1"/>
  <c r="AN19" i="4" s="1"/>
  <c r="M19" i="4"/>
  <c r="N19" i="4"/>
  <c r="O19" i="4" s="1"/>
  <c r="AK18" i="4"/>
  <c r="AL18" i="4" s="1"/>
  <c r="AM18" i="4"/>
  <c r="AN18" i="4" s="1"/>
  <c r="M18" i="4"/>
  <c r="N18" i="4" s="1"/>
  <c r="O18" i="4" s="1"/>
  <c r="AK17" i="4"/>
  <c r="AL17" i="4" s="1"/>
  <c r="P17" i="4"/>
  <c r="M17" i="4"/>
  <c r="N17" i="4" s="1"/>
  <c r="O17" i="4" s="1"/>
  <c r="AF17" i="4" s="1"/>
  <c r="AG16" i="4"/>
  <c r="AH16" i="4" s="1"/>
  <c r="AI16" i="4" s="1"/>
  <c r="AJ16" i="4" s="1"/>
  <c r="AK16" i="4"/>
  <c r="P16" i="4"/>
  <c r="M16" i="4"/>
  <c r="N16" i="4" s="1"/>
  <c r="O16" i="4" s="1"/>
  <c r="AK15" i="4"/>
  <c r="P15" i="4"/>
  <c r="M15" i="4"/>
  <c r="N15" i="4"/>
  <c r="O15" i="4" s="1"/>
  <c r="AK14" i="4"/>
  <c r="AL14" i="4" s="1"/>
  <c r="P14" i="4"/>
  <c r="M14" i="4"/>
  <c r="N14" i="4" s="1"/>
  <c r="O14" i="4" s="1"/>
  <c r="AF13" i="4"/>
  <c r="AG13" i="4" s="1"/>
  <c r="AH13" i="4" s="1"/>
  <c r="AI13" i="4" s="1"/>
  <c r="AJ13" i="4" s="1"/>
  <c r="AK13" i="4" s="1"/>
  <c r="P13" i="4"/>
  <c r="M13" i="4"/>
  <c r="N13" i="4"/>
  <c r="O13" i="4" s="1"/>
  <c r="AF12" i="4"/>
  <c r="AG12" i="4" s="1"/>
  <c r="AH12" i="4" s="1"/>
  <c r="AI12" i="4" s="1"/>
  <c r="AJ12" i="4" s="1"/>
  <c r="AK12" i="4" s="1"/>
  <c r="P12" i="4"/>
  <c r="M12" i="4"/>
  <c r="N12" i="4" s="1"/>
  <c r="O12" i="4" s="1"/>
  <c r="AF11" i="4"/>
  <c r="AG11" i="4" s="1"/>
  <c r="AH11" i="4" s="1"/>
  <c r="AI11" i="4" s="1"/>
  <c r="AJ11" i="4" s="1"/>
  <c r="AK11" i="4" s="1"/>
  <c r="P11" i="4"/>
  <c r="M11" i="4"/>
  <c r="N11" i="4"/>
  <c r="O11" i="4" s="1"/>
  <c r="AF10" i="4"/>
  <c r="AG10" i="4" s="1"/>
  <c r="P10" i="4"/>
  <c r="M10" i="4"/>
  <c r="N10" i="4"/>
  <c r="O10" i="4" s="1"/>
  <c r="AK9" i="4"/>
  <c r="AK8" i="4"/>
  <c r="AL8" i="4" s="1"/>
  <c r="AK7" i="4"/>
  <c r="AL7" i="4" s="1"/>
  <c r="AF6" i="4"/>
  <c r="AG6" i="4"/>
  <c r="AH6" i="4" s="1"/>
  <c r="AI6" i="4" s="1"/>
  <c r="P6" i="4"/>
  <c r="M6" i="4"/>
  <c r="N6" i="4" s="1"/>
  <c r="O6" i="4" s="1"/>
  <c r="AF5" i="4"/>
  <c r="AG5" i="4"/>
  <c r="AM5" i="4" s="1"/>
  <c r="AN5" i="4" s="1"/>
  <c r="M5" i="4"/>
  <c r="N5" i="4"/>
  <c r="O5" i="4" s="1"/>
  <c r="AH4" i="4"/>
  <c r="M4" i="4"/>
  <c r="N4" i="4"/>
  <c r="AF3" i="4"/>
  <c r="AG3" i="4" s="1"/>
  <c r="M3" i="4"/>
  <c r="N3" i="4" s="1"/>
  <c r="O3" i="4"/>
  <c r="Q98" i="4"/>
  <c r="P98" i="4"/>
  <c r="Q101" i="4"/>
  <c r="AM94" i="4"/>
  <c r="AN94" i="4" s="1"/>
  <c r="AL16" i="4"/>
  <c r="AL77" i="4"/>
  <c r="AM77" i="4" s="1"/>
  <c r="AN77" i="4" s="1"/>
  <c r="S126" i="4"/>
  <c r="P126" i="4"/>
  <c r="AL52" i="4"/>
  <c r="P102" i="4"/>
  <c r="AM56" i="4"/>
  <c r="AN56" i="4" s="1"/>
  <c r="AM17" i="4"/>
  <c r="AN17" i="4" s="1"/>
  <c r="AL92" i="4"/>
  <c r="AM92" i="4" s="1"/>
  <c r="AN92" i="4" s="1"/>
  <c r="AM61" i="4"/>
  <c r="AN61" i="4" s="1"/>
  <c r="S114" i="4"/>
  <c r="AL23" i="4"/>
  <c r="AM54" i="4"/>
  <c r="AN54" i="4" s="1"/>
  <c r="AL45" i="4"/>
  <c r="AM45" i="4" s="1"/>
  <c r="AN45" i="4" s="1"/>
  <c r="AL62" i="4"/>
  <c r="AJ42" i="4"/>
  <c r="AK42" i="4"/>
  <c r="AL42" i="4" s="1"/>
  <c r="AM42" i="4" s="1"/>
  <c r="AN42" i="4" s="1"/>
  <c r="P42" i="4"/>
  <c r="AL44" i="4"/>
  <c r="AM44" i="4" s="1"/>
  <c r="AN44" i="4" s="1"/>
  <c r="AL46" i="4"/>
  <c r="AM46" i="4"/>
  <c r="AN46" i="4" s="1"/>
  <c r="AL60" i="4"/>
  <c r="AM60" i="4" s="1"/>
  <c r="AN60" i="4" s="1"/>
  <c r="AK79" i="4"/>
  <c r="AL79" i="4"/>
  <c r="AH10" i="4"/>
  <c r="AI10" i="4" s="1"/>
  <c r="AJ10" i="4" s="1"/>
  <c r="AK10" i="4" s="1"/>
  <c r="AL13" i="4"/>
  <c r="AM13" i="4" s="1"/>
  <c r="AN13" i="4" s="1"/>
  <c r="AL48" i="4"/>
  <c r="AM48" i="4" s="1"/>
  <c r="AN48" i="4" s="1"/>
  <c r="AL28" i="4"/>
  <c r="AM28" i="4" s="1"/>
  <c r="AN28" i="4" s="1"/>
  <c r="AL95" i="4"/>
  <c r="AM95" i="4"/>
  <c r="AN95" i="4" s="1"/>
  <c r="P119" i="4"/>
  <c r="S119" i="4"/>
  <c r="P121" i="4"/>
  <c r="S129" i="4"/>
  <c r="P129" i="4"/>
  <c r="P33" i="4"/>
  <c r="AF137" i="4"/>
  <c r="AM3" i="4"/>
  <c r="AN3" i="4" s="1"/>
  <c r="AM7" i="4"/>
  <c r="AN7" i="4" s="1"/>
  <c r="AL15" i="4"/>
  <c r="AM15" i="4" s="1"/>
  <c r="AN15" i="4" s="1"/>
  <c r="P34" i="4"/>
  <c r="AM83" i="4"/>
  <c r="AN83" i="4" s="1"/>
  <c r="P113" i="4"/>
  <c r="S122" i="4"/>
  <c r="AL9" i="4"/>
  <c r="AM9" i="4" s="1"/>
  <c r="AN9" i="4" s="1"/>
  <c r="AM29" i="4"/>
  <c r="AN29" i="4"/>
  <c r="AL57" i="4"/>
  <c r="AM57" i="4" s="1"/>
  <c r="AN57" i="4" s="1"/>
  <c r="AL87" i="4"/>
  <c r="AM87" i="4" s="1"/>
  <c r="AN87" i="4" s="1"/>
  <c r="AL88" i="4"/>
  <c r="AM88" i="4"/>
  <c r="AN88" i="4" s="1"/>
  <c r="P125" i="4"/>
  <c r="P135" i="4"/>
  <c r="S135" i="4"/>
  <c r="AM4" i="4"/>
  <c r="AN4" i="4" s="1"/>
  <c r="AM82" i="4"/>
  <c r="AN82" i="4" s="1"/>
  <c r="S118" i="4"/>
  <c r="P118" i="4"/>
  <c r="P131" i="4"/>
  <c r="AM78" i="4"/>
  <c r="AN78" i="4" s="1"/>
  <c r="P127" i="4"/>
  <c r="S116" i="4"/>
  <c r="P116" i="4"/>
  <c r="S134" i="4"/>
  <c r="AM79" i="4"/>
  <c r="AN79" i="4" s="1"/>
  <c r="AL10" i="4" l="1"/>
  <c r="AM10" i="4"/>
  <c r="AN10" i="4" s="1"/>
  <c r="AL12" i="4"/>
  <c r="AM12" i="4"/>
  <c r="AN12" i="4" s="1"/>
  <c r="AL11" i="4"/>
  <c r="AM11" i="4"/>
  <c r="AN11" i="4" s="1"/>
  <c r="AL24" i="4"/>
  <c r="AM24" i="4" s="1"/>
  <c r="AN24" i="4" s="1"/>
  <c r="AL34" i="4"/>
  <c r="AM34" i="4"/>
  <c r="AN34" i="4" s="1"/>
  <c r="AM50" i="4"/>
  <c r="AN50" i="4" s="1"/>
  <c r="AL50" i="4"/>
  <c r="AL21" i="4"/>
  <c r="AM21" i="4"/>
  <c r="AN21" i="4" s="1"/>
  <c r="P41" i="4"/>
  <c r="AJ41" i="4"/>
  <c r="AK41" i="4" s="1"/>
  <c r="Q97" i="4"/>
  <c r="P97" i="4"/>
  <c r="Q100" i="4"/>
  <c r="P100" i="4"/>
  <c r="AH137" i="4"/>
  <c r="S133" i="4"/>
  <c r="P123" i="4"/>
  <c r="P50" i="4"/>
  <c r="AJ43" i="4"/>
  <c r="AK43" i="4" s="1"/>
  <c r="AJ6" i="4"/>
  <c r="AM16" i="4"/>
  <c r="AN16" i="4" s="1"/>
  <c r="AM23" i="4"/>
  <c r="AN23" i="4" s="1"/>
  <c r="AJ49" i="4"/>
  <c r="AK49" i="4" s="1"/>
  <c r="AI49" i="4"/>
  <c r="AI137" i="4" s="1"/>
  <c r="AM51" i="4"/>
  <c r="AN51" i="4" s="1"/>
  <c r="AL51" i="4"/>
  <c r="AM52" i="4"/>
  <c r="AN52" i="4" s="1"/>
  <c r="AL53" i="4"/>
  <c r="AM53" i="4"/>
  <c r="AN53" i="4" s="1"/>
  <c r="AM91" i="4"/>
  <c r="AN91" i="4" s="1"/>
  <c r="S120" i="4"/>
  <c r="P120" i="4"/>
  <c r="AL33" i="4"/>
  <c r="AM33" i="4" s="1"/>
  <c r="AN33" i="4" s="1"/>
  <c r="S117" i="4"/>
  <c r="P117" i="4"/>
  <c r="S124" i="4"/>
  <c r="P124" i="4"/>
  <c r="Q99" i="4"/>
  <c r="AJ32" i="4"/>
  <c r="AK32" i="4" s="1"/>
  <c r="P32" i="4"/>
  <c r="AL59" i="4"/>
  <c r="AM59" i="4"/>
  <c r="AN59" i="4" s="1"/>
  <c r="P115" i="4"/>
  <c r="S115" i="4"/>
  <c r="P130" i="4"/>
  <c r="S130" i="4"/>
  <c r="S132" i="4"/>
  <c r="P132" i="4"/>
  <c r="AM58" i="4"/>
  <c r="AN58" i="4" s="1"/>
  <c r="AG137" i="4"/>
  <c r="AL20" i="4"/>
  <c r="AM20" i="4"/>
  <c r="AN20" i="4" s="1"/>
  <c r="AM22" i="4"/>
  <c r="AN22" i="4" s="1"/>
  <c r="AL47" i="4"/>
  <c r="AM47" i="4"/>
  <c r="AN47" i="4" s="1"/>
  <c r="AM62" i="4"/>
  <c r="AN62" i="4" s="1"/>
  <c r="S128" i="4"/>
  <c r="P128" i="4"/>
  <c r="AM8" i="4"/>
  <c r="AN8" i="4" s="1"/>
  <c r="AM30" i="4"/>
  <c r="AN30" i="4" s="1"/>
  <c r="AM93" i="4"/>
  <c r="AN93" i="4" s="1"/>
  <c r="AM86" i="4"/>
  <c r="AN86" i="4" s="1"/>
  <c r="AM90" i="4"/>
  <c r="AN90" i="4" s="1"/>
  <c r="AM14" i="4"/>
  <c r="AL25" i="4"/>
  <c r="AM25" i="4"/>
  <c r="AN25" i="4" s="1"/>
  <c r="AM27" i="4"/>
  <c r="AN27" i="4" s="1"/>
  <c r="AL55" i="4"/>
  <c r="AM55" i="4" s="1"/>
  <c r="AN55" i="4" s="1"/>
  <c r="AK80" i="4"/>
  <c r="AK81" i="4"/>
  <c r="AL81" i="4" s="1"/>
  <c r="AM81" i="4"/>
  <c r="AN81" i="4" s="1"/>
  <c r="AL32" i="4" l="1"/>
  <c r="AM32" i="4"/>
  <c r="AN32" i="4" s="1"/>
  <c r="AL49" i="4"/>
  <c r="AM49" i="4"/>
  <c r="AN49" i="4" s="1"/>
  <c r="AL43" i="4"/>
  <c r="AM43" i="4"/>
  <c r="AN43" i="4" s="1"/>
  <c r="AK6" i="4"/>
  <c r="AJ137" i="4"/>
  <c r="AL41" i="4"/>
  <c r="AM41" i="4"/>
  <c r="AN41" i="4" s="1"/>
  <c r="AL80" i="4"/>
  <c r="AM80" i="4" s="1"/>
  <c r="AN80" i="4" s="1"/>
  <c r="AK137" i="4"/>
  <c r="AN14" i="4"/>
  <c r="AL6" i="4" l="1"/>
  <c r="AL137" i="4" s="1"/>
  <c r="AM6" i="4" l="1"/>
  <c r="AN6" i="4" l="1"/>
  <c r="AN137" i="4" s="1"/>
  <c r="AM137" i="4"/>
</calcChain>
</file>

<file path=xl/sharedStrings.xml><?xml version="1.0" encoding="utf-8"?>
<sst xmlns="http://schemas.openxmlformats.org/spreadsheetml/2006/main" count="933" uniqueCount="384">
  <si>
    <t>CODIGO</t>
  </si>
  <si>
    <t>NOM LASE</t>
  </si>
  <si>
    <t xml:space="preserve">  </t>
  </si>
  <si>
    <t>Marca</t>
  </si>
  <si>
    <t>Modelo</t>
  </si>
  <si>
    <t>Serie</t>
  </si>
  <si>
    <t>Color</t>
  </si>
  <si>
    <t>Estado Actual</t>
  </si>
  <si>
    <t>F.Financiamiento</t>
  </si>
  <si>
    <t>FCHA ADQUISICION</t>
  </si>
  <si>
    <t>VAL NICIAL</t>
  </si>
  <si>
    <t>V.RESIDUAL</t>
  </si>
  <si>
    <t>V.A DEPRECIAR</t>
  </si>
  <si>
    <t>EP. Anual</t>
  </si>
  <si>
    <t>DEP 2001</t>
  </si>
  <si>
    <t>DEP 2002</t>
  </si>
  <si>
    <t>DEP 2003</t>
  </si>
  <si>
    <t>DEP 2004</t>
  </si>
  <si>
    <t>DEP 2005</t>
  </si>
  <si>
    <t>DEP 2006</t>
  </si>
  <si>
    <t>DEP 2007</t>
  </si>
  <si>
    <t>DEP 2008</t>
  </si>
  <si>
    <t>DEP 2009</t>
  </si>
  <si>
    <t>DEP 2010</t>
  </si>
  <si>
    <t>DEP 2011</t>
  </si>
  <si>
    <t>DEP 2012</t>
  </si>
  <si>
    <t>DEP 2013</t>
  </si>
  <si>
    <t>DEP 2014</t>
  </si>
  <si>
    <t>DEP 2015</t>
  </si>
  <si>
    <t>DEP 2016</t>
  </si>
  <si>
    <t>DEP 2017</t>
  </si>
  <si>
    <t>DEP 2018</t>
  </si>
  <si>
    <t>DEP 2019</t>
  </si>
  <si>
    <t>DEP 2020</t>
  </si>
  <si>
    <t>DEP 2021</t>
  </si>
  <si>
    <t>DEP 2022</t>
  </si>
  <si>
    <t>DEP 2023</t>
  </si>
  <si>
    <t>DEP. ACUMULADA</t>
  </si>
  <si>
    <t>VAL. ACTUAL</t>
  </si>
  <si>
    <t>0342-155-030-01-00004</t>
  </si>
  <si>
    <t>Equipo de rayos X</t>
  </si>
  <si>
    <t>Siemens</t>
  </si>
  <si>
    <t>Axiom Lcon.r100</t>
  </si>
  <si>
    <t>0342-155-030-01-00003</t>
  </si>
  <si>
    <t>Anexo Imágenes Medica RX</t>
  </si>
  <si>
    <t>SIEMENS</t>
  </si>
  <si>
    <t>AXION MULTIX MP</t>
  </si>
  <si>
    <t/>
  </si>
  <si>
    <t>RHESSA/BIRF</t>
  </si>
  <si>
    <t>0342-156-094-03-00001</t>
  </si>
  <si>
    <t>Tomografo Computarizado Multicorte</t>
  </si>
  <si>
    <t>Somaton Emotion</t>
  </si>
  <si>
    <t>0342-155-178-02-00001</t>
  </si>
  <si>
    <t>VideoEndoscópio</t>
  </si>
  <si>
    <t>Consulta Externa</t>
  </si>
  <si>
    <t>OLYMPUS</t>
  </si>
  <si>
    <t>CV150</t>
  </si>
  <si>
    <t>Gris</t>
  </si>
  <si>
    <t>Bueno</t>
  </si>
  <si>
    <t>Fundación B. Bloom</t>
  </si>
  <si>
    <t>0342-156-004-02-00002</t>
  </si>
  <si>
    <t>Esterilizador</t>
  </si>
  <si>
    <t>Central de Esterilización</t>
  </si>
  <si>
    <t>CISA</t>
  </si>
  <si>
    <t>6415 GL</t>
  </si>
  <si>
    <t>24517</t>
  </si>
  <si>
    <t>Prides-BID 2347/OC-ES</t>
  </si>
  <si>
    <t>0342-156-004-02-00003</t>
  </si>
  <si>
    <t>TUTTNAUER</t>
  </si>
  <si>
    <t>6671162-2VEP</t>
  </si>
  <si>
    <t>13040009</t>
  </si>
  <si>
    <t>0342-156-004-02-00004</t>
  </si>
  <si>
    <t>130400010</t>
  </si>
  <si>
    <t>0342-155-125-33-00001</t>
  </si>
  <si>
    <t>Ultrasonido P/Oftamología</t>
  </si>
  <si>
    <t>HELLEX</t>
  </si>
  <si>
    <t>EYECUBED</t>
  </si>
  <si>
    <t>V400-11227</t>
  </si>
  <si>
    <t>Negro</t>
  </si>
  <si>
    <t>Fondos PEIS</t>
  </si>
  <si>
    <t>0342-155-032-01-00002</t>
  </si>
  <si>
    <t>Equipo de rayos X odontológico</t>
  </si>
  <si>
    <t>SIRONA</t>
  </si>
  <si>
    <t>ORTOPHOS XG5 CEPH</t>
  </si>
  <si>
    <t>91347</t>
  </si>
  <si>
    <t>Blanco</t>
  </si>
  <si>
    <t>0342-156-086-02-00001</t>
  </si>
  <si>
    <t>Equipo Ecográfico</t>
  </si>
  <si>
    <t>ACUSON SC2000</t>
  </si>
  <si>
    <t>401806</t>
  </si>
  <si>
    <t>0342-155-123-02-00002</t>
  </si>
  <si>
    <t>Ecógrafo</t>
  </si>
  <si>
    <t>402693</t>
  </si>
  <si>
    <t>0342-153-056-01-00041</t>
  </si>
  <si>
    <t>Impresora láser para computadoras</t>
  </si>
  <si>
    <t>Imágenes Medicas</t>
  </si>
  <si>
    <t>FUJI FILM</t>
  </si>
  <si>
    <t>DRY PIX 4000</t>
  </si>
  <si>
    <t>56800761</t>
  </si>
  <si>
    <t>Gobierno de Japón</t>
  </si>
  <si>
    <t>0342-153-060-01-00241</t>
  </si>
  <si>
    <t xml:space="preserve"> ( CPU) Unidad Central de Proceso</t>
  </si>
  <si>
    <t>DELL</t>
  </si>
  <si>
    <t>DELL PRECISION TOWER 7810</t>
  </si>
  <si>
    <t>H71XJ82</t>
  </si>
  <si>
    <t>0342-156-002-01-00011</t>
  </si>
  <si>
    <t>Aparato para anestesia</t>
  </si>
  <si>
    <t>DRAGER</t>
  </si>
  <si>
    <t>FABIUS MRI</t>
  </si>
  <si>
    <t>ASJC-0160</t>
  </si>
  <si>
    <t>0342-156-164-01-00001</t>
  </si>
  <si>
    <t>Eq. Resonancia Magnetica</t>
  </si>
  <si>
    <t>HITACHI</t>
  </si>
  <si>
    <t>APERTO LUCENT</t>
  </si>
  <si>
    <t>02Z0283115</t>
  </si>
  <si>
    <t>Beige</t>
  </si>
  <si>
    <t>0342-165-034-01-00007</t>
  </si>
  <si>
    <t xml:space="preserve"> Ascensor</t>
  </si>
  <si>
    <t>Mantenimiento</t>
  </si>
  <si>
    <t>OTIS</t>
  </si>
  <si>
    <t>0342-165-034-01-00008</t>
  </si>
  <si>
    <t>0342-165-034-01-00002</t>
  </si>
  <si>
    <t>0342-165-034-01-00003</t>
  </si>
  <si>
    <t>0342-165-034-01-00004</t>
  </si>
  <si>
    <t>0342-165-034-01-00005</t>
  </si>
  <si>
    <t>0342-165-034-01-00006</t>
  </si>
  <si>
    <t>0342-153-016-01-00067</t>
  </si>
  <si>
    <t>Aire Acondicionado</t>
  </si>
  <si>
    <t>LENNOX</t>
  </si>
  <si>
    <t>TAA090S4D-1G</t>
  </si>
  <si>
    <t>5616G12593</t>
  </si>
  <si>
    <t>Prest. BIRF 8076-sv</t>
  </si>
  <si>
    <t>0342-161-011-01-00001</t>
  </si>
  <si>
    <t>Manejadora de Aire. Acond.</t>
  </si>
  <si>
    <t>YORK</t>
  </si>
  <si>
    <t>YVAA027SDGV17BASXX</t>
  </si>
  <si>
    <t>0342-165-008-01-00001</t>
  </si>
  <si>
    <t xml:space="preserve"> Calderas</t>
  </si>
  <si>
    <t>FULTON</t>
  </si>
  <si>
    <t>FBS-100A-3P</t>
  </si>
  <si>
    <t>F1049069A</t>
  </si>
  <si>
    <t>0342-165-008-01-00002</t>
  </si>
  <si>
    <t>F1049068A</t>
  </si>
  <si>
    <t>0342-156-252-01-00001</t>
  </si>
  <si>
    <t>Lavadora Termo-Desinfectadora</t>
  </si>
  <si>
    <t>BMT/MMM. Group</t>
  </si>
  <si>
    <t>PL II 15-2 EL/FD</t>
  </si>
  <si>
    <t>Plateado</t>
  </si>
  <si>
    <t>0342-156-252-01-00002</t>
  </si>
  <si>
    <t>0342-154-002-01-00005</t>
  </si>
  <si>
    <t>Ambulancia</t>
  </si>
  <si>
    <t>Ford</t>
  </si>
  <si>
    <t>TRANSIT</t>
  </si>
  <si>
    <t>PRESTAMOS BIRF 8076-SV</t>
  </si>
  <si>
    <t>0342-155-030-01-00001</t>
  </si>
  <si>
    <t>0342-155-236-01-00001</t>
  </si>
  <si>
    <t>Acel. Lineal Patic. Monoenerge</t>
  </si>
  <si>
    <t>0342-155-236-01-00002</t>
  </si>
  <si>
    <t>0342-156-142-01-00001</t>
  </si>
  <si>
    <t>Tomógrafo</t>
  </si>
  <si>
    <t>0342-156-254-01-00001</t>
  </si>
  <si>
    <t>Disp. Inmov.Tratam. Neoplásica</t>
  </si>
  <si>
    <t>0342-156-255-04-00001</t>
  </si>
  <si>
    <t>Eq. de Branquiterapia</t>
  </si>
  <si>
    <t>0342-156-055-01-00013</t>
  </si>
  <si>
    <t>Aspiradores</t>
  </si>
  <si>
    <t>Sala de Operaciones</t>
  </si>
  <si>
    <t>SORING</t>
  </si>
  <si>
    <t>SONOCA 300</t>
  </si>
  <si>
    <t>94501101</t>
  </si>
  <si>
    <t>GOES</t>
  </si>
  <si>
    <t>0342-155-074-03-00055</t>
  </si>
  <si>
    <t>Ventilador de Transporte(Resp.</t>
  </si>
  <si>
    <t>Cuidados Intermedios</t>
  </si>
  <si>
    <t>MAQUET</t>
  </si>
  <si>
    <t>SERVO i</t>
  </si>
  <si>
    <t>87908</t>
  </si>
  <si>
    <t>Rotary International</t>
  </si>
  <si>
    <t>0342-155-074-03-00056</t>
  </si>
  <si>
    <t>87909</t>
  </si>
  <si>
    <t>0342-156-261-01-00001</t>
  </si>
  <si>
    <t>Vitreotomo</t>
  </si>
  <si>
    <t>OERHI</t>
  </si>
  <si>
    <t>FAROS</t>
  </si>
  <si>
    <t>87690138</t>
  </si>
  <si>
    <t>0342-155-123-01-00006</t>
  </si>
  <si>
    <t>Ultrasonógrafo</t>
  </si>
  <si>
    <t>CHISON</t>
  </si>
  <si>
    <t>SON OBOOK 3</t>
  </si>
  <si>
    <t>0342-156-044-01-00007</t>
  </si>
  <si>
    <t xml:space="preserve"> Lámparas p/sala de operaciones </t>
  </si>
  <si>
    <t>LUVIS</t>
  </si>
  <si>
    <t>L400/L400</t>
  </si>
  <si>
    <t>0342-155-123-01-00007</t>
  </si>
  <si>
    <t>Emergencia</t>
  </si>
  <si>
    <t>SONOBOOK 8</t>
  </si>
  <si>
    <t>0342-156-266-01-00001</t>
  </si>
  <si>
    <t>Sist .Modular Elect. P/Cirugía</t>
  </si>
  <si>
    <t>MEDTRONIC</t>
  </si>
  <si>
    <t>0342-156-265-01-00001</t>
  </si>
  <si>
    <t>Sensor Flat Panel Inalamb.</t>
  </si>
  <si>
    <t>DR-TECH</t>
  </si>
  <si>
    <t>EVS3643</t>
  </si>
  <si>
    <t>Fdo. Propios</t>
  </si>
  <si>
    <t>0342-156-265-01-00002</t>
  </si>
  <si>
    <t>DR TECH</t>
  </si>
  <si>
    <t>0342-156-265-01-00003</t>
  </si>
  <si>
    <t>0342-156-163-01-00001</t>
  </si>
  <si>
    <t>Fluoroscopio Brazo en C</t>
  </si>
  <si>
    <t>SHIMADZU</t>
  </si>
  <si>
    <t>OPESCOPE ACTENO</t>
  </si>
  <si>
    <t>41D6D8369004</t>
  </si>
  <si>
    <t>0342-156-163-01-00002</t>
  </si>
  <si>
    <t>41D6D8354002</t>
  </si>
  <si>
    <t>0342-155-074-03-00061</t>
  </si>
  <si>
    <t>GETINGE(MAQUET)</t>
  </si>
  <si>
    <t>SERVO-AIR</t>
  </si>
  <si>
    <t>16498</t>
  </si>
  <si>
    <t>0342-155-074-03-00062</t>
  </si>
  <si>
    <t>16492</t>
  </si>
  <si>
    <t>0342-155-074-03-00063</t>
  </si>
  <si>
    <t>16497</t>
  </si>
  <si>
    <t>0342-155-074-03-00064</t>
  </si>
  <si>
    <t>16500</t>
  </si>
  <si>
    <t>0342-155-074-03-00065</t>
  </si>
  <si>
    <t>16496</t>
  </si>
  <si>
    <t>0342-155-074-03-00066</t>
  </si>
  <si>
    <t>16494</t>
  </si>
  <si>
    <t>0342-155-074-03-00067</t>
  </si>
  <si>
    <t>16493</t>
  </si>
  <si>
    <t>0342-155-074-03-00068</t>
  </si>
  <si>
    <t>16499</t>
  </si>
  <si>
    <t>0342-155-074-03-00069</t>
  </si>
  <si>
    <t>16491</t>
  </si>
  <si>
    <t>0342-155-074-03-00070</t>
  </si>
  <si>
    <t>16495</t>
  </si>
  <si>
    <t>0342-155-123-01-00008</t>
  </si>
  <si>
    <t>SONOBOOK9</t>
  </si>
  <si>
    <t>0342-155-123-01-00009</t>
  </si>
  <si>
    <t>CBIT 8</t>
  </si>
  <si>
    <t>119050463</t>
  </si>
  <si>
    <t>0342-155-123-01-00010</t>
  </si>
  <si>
    <t>EDAN</t>
  </si>
  <si>
    <t>ACCLARIX AX8</t>
  </si>
  <si>
    <t>0342-155-247-01-00001</t>
  </si>
  <si>
    <t>Sist. Automa.p/Cariotipo</t>
  </si>
  <si>
    <t>Carl .Zeisss</t>
  </si>
  <si>
    <t>AXIOSCOPE 5</t>
  </si>
  <si>
    <t>0342-156-086-01-00005</t>
  </si>
  <si>
    <t>Aparato de Ultrasonido</t>
  </si>
  <si>
    <t>Esaote</t>
  </si>
  <si>
    <t>MyLabSeven</t>
  </si>
  <si>
    <t>DV1919047</t>
  </si>
  <si>
    <t>ONG</t>
  </si>
  <si>
    <t>0342-156-086-02-00003</t>
  </si>
  <si>
    <t>Equipo Ecografico</t>
  </si>
  <si>
    <t>Philips</t>
  </si>
  <si>
    <t>CX50</t>
  </si>
  <si>
    <t>SG21900095</t>
  </si>
  <si>
    <t>0342-156-278-01-00001</t>
  </si>
  <si>
    <t>Sist.Detec.c/Cons.Procesam.</t>
  </si>
  <si>
    <t>Shimadsuviework</t>
  </si>
  <si>
    <t>FXRD-14X17WA</t>
  </si>
  <si>
    <t>0342-154-028-01-00002</t>
  </si>
  <si>
    <t>Microbus</t>
  </si>
  <si>
    <t>Nissan</t>
  </si>
  <si>
    <t>URVAN GX</t>
  </si>
  <si>
    <t>0342-154-028-01-00003</t>
  </si>
  <si>
    <t>URVAN DX</t>
  </si>
  <si>
    <t>0342-155-123-01-00011</t>
  </si>
  <si>
    <t>Equipo de Ultrasonografia</t>
  </si>
  <si>
    <t>Mindray</t>
  </si>
  <si>
    <t>DC-80A</t>
  </si>
  <si>
    <t>CR7-15000514</t>
  </si>
  <si>
    <t>0342-156-288-01-00001</t>
  </si>
  <si>
    <t>Laser Diodo Infrarojo</t>
  </si>
  <si>
    <t>Miridiamn</t>
  </si>
  <si>
    <t>810 Shrot pluse</t>
  </si>
  <si>
    <t>MRSP210108</t>
  </si>
  <si>
    <t>Azul</t>
  </si>
  <si>
    <t>0342-155-061-01-00237</t>
  </si>
  <si>
    <t>Monitor p/Signos Vitales</t>
  </si>
  <si>
    <t>MINDRAY</t>
  </si>
  <si>
    <t>BeneVision N17</t>
  </si>
  <si>
    <t>F2-17014617</t>
  </si>
  <si>
    <t>0342-155-177-03-00001</t>
  </si>
  <si>
    <t>Videobroncoscopio</t>
  </si>
  <si>
    <t>KARL STORZ</t>
  </si>
  <si>
    <t>11910D</t>
  </si>
  <si>
    <t>54498</t>
  </si>
  <si>
    <t>Fund. B. Bloom</t>
  </si>
  <si>
    <t>0342-155-178-02-00002</t>
  </si>
  <si>
    <t>13821 NKS</t>
  </si>
  <si>
    <t>63967</t>
  </si>
  <si>
    <t>0342-155-178-02-00003</t>
  </si>
  <si>
    <t>13885 NKS</t>
  </si>
  <si>
    <t>70107</t>
  </si>
  <si>
    <t>0342-156-076-06-00001</t>
  </si>
  <si>
    <t>Torre de  Laparoscopía</t>
  </si>
  <si>
    <t>0342-155-028-08-00005</t>
  </si>
  <si>
    <t>Videolaringoscopio</t>
  </si>
  <si>
    <t>STORZ</t>
  </si>
  <si>
    <t>TP101</t>
  </si>
  <si>
    <t>PN05402</t>
  </si>
  <si>
    <t>0342-155-061-01-00257</t>
  </si>
  <si>
    <t>F2-1A015723</t>
  </si>
  <si>
    <t>Fondos Propios</t>
  </si>
  <si>
    <t>0342-155-074-03-00094</t>
  </si>
  <si>
    <t>INFINITY C500</t>
  </si>
  <si>
    <t>ASPK-0348</t>
  </si>
  <si>
    <t>7833 Eq. Att Mater/1°Infanc.</t>
  </si>
  <si>
    <t>0342-155-074-03-00095</t>
  </si>
  <si>
    <t>GETINGE</t>
  </si>
  <si>
    <t>SERVO-n</t>
  </si>
  <si>
    <t>456597007</t>
  </si>
  <si>
    <t>0342-155-074-03-00096</t>
  </si>
  <si>
    <t>456597008</t>
  </si>
  <si>
    <t>0342-156-211-01-00002</t>
  </si>
  <si>
    <t>Electromiografo</t>
  </si>
  <si>
    <t>NATUS</t>
  </si>
  <si>
    <t>NEUROLOGY</t>
  </si>
  <si>
    <t>2021-07-08-:60532</t>
  </si>
  <si>
    <t>0342-156-040-01-00131</t>
  </si>
  <si>
    <t>Incubadora</t>
  </si>
  <si>
    <t>DAVID MEDICAL</t>
  </si>
  <si>
    <t>YP-300</t>
  </si>
  <si>
    <t>A17BAAB02001</t>
  </si>
  <si>
    <t>FOPROMID</t>
  </si>
  <si>
    <t>0342-156-040-01-00132</t>
  </si>
  <si>
    <t>YP-3000</t>
  </si>
  <si>
    <t>A17BAAK01006</t>
  </si>
  <si>
    <t>0342-156-040-01-00133</t>
  </si>
  <si>
    <t>A17BAAB02006</t>
  </si>
  <si>
    <t>0342-156-040-01-00134</t>
  </si>
  <si>
    <t>A17BAAB02007</t>
  </si>
  <si>
    <t>0342-156-040-01-00135</t>
  </si>
  <si>
    <t>A17BAAK01015</t>
  </si>
  <si>
    <t>0342-156-040-01-00136</t>
  </si>
  <si>
    <t>A17BAAB02005</t>
  </si>
  <si>
    <t>0342-156-040-01-00137</t>
  </si>
  <si>
    <t>A17BAAB02002</t>
  </si>
  <si>
    <t>0342-156-040-01-00138</t>
  </si>
  <si>
    <t>A17BAAB02009</t>
  </si>
  <si>
    <t>0342-156-040-01-00139</t>
  </si>
  <si>
    <t>A17BAAB02010</t>
  </si>
  <si>
    <t>0342-156-040-01-00140</t>
  </si>
  <si>
    <t>A17BAAB02014</t>
  </si>
  <si>
    <t>0342-156-040-01-00141</t>
  </si>
  <si>
    <t>A17BAAB02012</t>
  </si>
  <si>
    <t>0342-156-040-01-00142</t>
  </si>
  <si>
    <t>A17BAAB02013</t>
  </si>
  <si>
    <t>0342-156-040-01-00143</t>
  </si>
  <si>
    <t>A17BAAK01011</t>
  </si>
  <si>
    <t>0342-156-040-01-00144</t>
  </si>
  <si>
    <t>A17BAAB02008</t>
  </si>
  <si>
    <t>0342-156-040-01-00145</t>
  </si>
  <si>
    <t>A17BAAB02003</t>
  </si>
  <si>
    <t>0342-156-040-01-00155</t>
  </si>
  <si>
    <t>A17BAAB02004</t>
  </si>
  <si>
    <t>0342-156-040-01-00156</t>
  </si>
  <si>
    <t>A17BAAB02011</t>
  </si>
  <si>
    <t>0342-156-040-01-00157</t>
  </si>
  <si>
    <t>A17BAAK01013</t>
  </si>
  <si>
    <t>0342-156-040-01-00158</t>
  </si>
  <si>
    <t>A17BAAB02015</t>
  </si>
  <si>
    <t>0342-156-040-01-00161</t>
  </si>
  <si>
    <t>A17BAAK01012</t>
  </si>
  <si>
    <t>0342-155-200-01-00001</t>
  </si>
  <si>
    <t>Inyec. de Medio de Contraste</t>
  </si>
  <si>
    <t>LIEBELFLARSHEIM</t>
  </si>
  <si>
    <t>LF Opti Vantage</t>
  </si>
  <si>
    <t>C0819B617G</t>
  </si>
  <si>
    <t>0342-155-030-10-00006</t>
  </si>
  <si>
    <t>Eq. Rayos X Movil</t>
  </si>
  <si>
    <t>FUJIFILM</t>
  </si>
  <si>
    <t>FDR GO PLUS</t>
  </si>
  <si>
    <t>MQ00012C3021</t>
  </si>
  <si>
    <t>BID-COVID</t>
  </si>
  <si>
    <t>0342-155-030-07-00001</t>
  </si>
  <si>
    <t>U. Radiografica C/Fluroscopia</t>
  </si>
  <si>
    <t>Cios Alpha</t>
  </si>
  <si>
    <t>43119</t>
  </si>
  <si>
    <t>PRESTAMOS BID.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</si>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</sst>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\ dd\/mm\/yyyy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2" borderId="1" xfId="2" applyFont="1" applyFill="1" applyBorder="1" applyAlignment="1">
      <alignment horizontal="center"/>
    </xf>
    <xf numFmtId="0" fontId="1" fillId="0" borderId="1" xfId="2" applyBorder="1" applyAlignment="1">
      <alignment wrapText="1"/>
    </xf>
    <xf numFmtId="0" fontId="2" fillId="0" borderId="1" xfId="2" applyFont="1" applyBorder="1" applyAlignment="1">
      <alignment wrapText="1"/>
    </xf>
    <xf numFmtId="15" fontId="2" fillId="0" borderId="1" xfId="2" applyNumberFormat="1" applyFont="1" applyBorder="1" applyAlignment="1">
      <alignment horizontal="right" wrapText="1"/>
    </xf>
    <xf numFmtId="0" fontId="0" fillId="0" borderId="1" xfId="0" applyBorder="1"/>
    <xf numFmtId="0" fontId="7" fillId="0" borderId="1" xfId="0" applyFont="1" applyBorder="1"/>
    <xf numFmtId="165" fontId="1" fillId="0" borderId="1" xfId="0" applyNumberFormat="1" applyFont="1" applyBorder="1" applyAlignment="1">
      <alignment vertical="top"/>
    </xf>
    <xf numFmtId="44" fontId="3" fillId="0" borderId="1" xfId="1" applyFont="1" applyFill="1" applyBorder="1" applyAlignment="1">
      <alignment horizontal="right" wrapText="1"/>
    </xf>
    <xf numFmtId="44" fontId="8" fillId="0" borderId="1" xfId="1" applyFont="1" applyBorder="1"/>
    <xf numFmtId="0" fontId="0" fillId="0" borderId="1" xfId="0" applyBorder="1" applyAlignment="1">
      <alignment vertical="top"/>
    </xf>
    <xf numFmtId="165" fontId="0" fillId="0" borderId="1" xfId="0" applyNumberForma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44" fontId="3" fillId="0" borderId="1" xfId="1" applyFont="1" applyBorder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vertical="top"/>
    </xf>
    <xf numFmtId="44" fontId="8" fillId="0" borderId="1" xfId="1" applyFont="1" applyBorder="1" applyAlignment="1">
      <alignment vertical="top"/>
    </xf>
    <xf numFmtId="0" fontId="1" fillId="0" borderId="0" xfId="0" applyFont="1" applyAlignment="1">
      <alignment vertical="top"/>
    </xf>
    <xf numFmtId="165" fontId="1" fillId="0" borderId="0" xfId="0" applyNumberFormat="1" applyFont="1" applyAlignment="1">
      <alignment vertical="top"/>
    </xf>
    <xf numFmtId="44" fontId="3" fillId="0" borderId="0" xfId="1" applyFont="1" applyBorder="1" applyAlignment="1">
      <alignment vertical="top"/>
    </xf>
    <xf numFmtId="44" fontId="8" fillId="0" borderId="0" xfId="1" applyFont="1" applyBorder="1"/>
    <xf numFmtId="44" fontId="8" fillId="0" borderId="0" xfId="1" applyFont="1" applyBorder="1" applyAlignment="1">
      <alignment vertical="top"/>
    </xf>
    <xf numFmtId="0" fontId="2" fillId="2" borderId="2" xfId="2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44" fontId="9" fillId="0" borderId="1" xfId="1" applyFont="1" applyBorder="1"/>
    <xf numFmtId="165" fontId="8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44" fontId="1" fillId="0" borderId="1" xfId="1" applyFont="1" applyBorder="1" applyAlignment="1">
      <alignment vertical="top"/>
    </xf>
    <xf numFmtId="164" fontId="10" fillId="0" borderId="1" xfId="0" applyNumberFormat="1" applyFont="1" applyBorder="1"/>
    <xf numFmtId="44" fontId="9" fillId="0" borderId="1" xfId="1" applyFont="1" applyBorder="1" applyAlignment="1"/>
    <xf numFmtId="0" fontId="0" fillId="3" borderId="1" xfId="0" applyFill="1" applyBorder="1" applyAlignment="1">
      <alignment vertical="top"/>
    </xf>
    <xf numFmtId="44" fontId="6" fillId="3" borderId="1" xfId="1" applyFont="1" applyFill="1" applyBorder="1" applyAlignment="1">
      <alignment vertical="top"/>
    </xf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44" fontId="13" fillId="0" borderId="0" xfId="1" applyFont="1" applyBorder="1"/>
    <xf numFmtId="44" fontId="6" fillId="0" borderId="1" xfId="1" applyFont="1" applyBorder="1"/>
    <xf numFmtId="44" fontId="6" fillId="0" borderId="1" xfId="1" applyFont="1" applyBorder="1" applyAlignment="1">
      <alignment vertical="top"/>
    </xf>
    <xf numFmtId="44" fontId="7" fillId="0" borderId="0" xfId="0" applyNumberFormat="1" applyFont="1"/>
    <xf numFmtId="0" fontId="0" fillId="0" borderId="0" xfId="0" applyBorder="1" applyAlignment="1">
      <alignment vertical="top"/>
    </xf>
    <xf numFmtId="165" fontId="0" fillId="0" borderId="0" xfId="0" applyNumberFormat="1" applyBorder="1" applyAlignment="1">
      <alignment vertical="top"/>
    </xf>
    <xf numFmtId="44" fontId="6" fillId="0" borderId="0" xfId="1" applyFont="1" applyBorder="1" applyAlignment="1">
      <alignment vertical="top"/>
    </xf>
    <xf numFmtId="0" fontId="0" fillId="0" borderId="0" xfId="0" applyBorder="1"/>
    <xf numFmtId="44" fontId="0" fillId="0" borderId="0" xfId="0" applyNumberFormat="1"/>
    <xf numFmtId="0" fontId="4" fillId="0" borderId="1" xfId="2" applyFont="1" applyBorder="1" applyAlignment="1">
      <alignment wrapText="1"/>
    </xf>
    <xf numFmtId="0" fontId="9" fillId="0" borderId="1" xfId="0" applyFont="1" applyBorder="1" applyAlignment="1">
      <alignment vertical="top"/>
    </xf>
    <xf numFmtId="164" fontId="13" fillId="0" borderId="0" xfId="0" applyNumberFormat="1" applyFont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44" fontId="9" fillId="0" borderId="1" xfId="1" applyFont="1" applyBorder="1" applyAlignment="1">
      <alignment vertical="top"/>
    </xf>
    <xf numFmtId="0" fontId="0" fillId="0" borderId="0" xfId="0" applyFill="1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44" fontId="7" fillId="0" borderId="1" xfId="0" applyNumberFormat="1" applyFont="1" applyBorder="1"/>
    <xf numFmtId="44" fontId="0" fillId="0" borderId="1" xfId="0" applyNumberFormat="1" applyBorder="1"/>
    <xf numFmtId="165" fontId="0" fillId="0" borderId="0" xfId="0" applyNumberFormat="1" applyAlignment="1">
      <alignment vertical="top"/>
    </xf>
    <xf numFmtId="2" fontId="0" fillId="0" borderId="0" xfId="0" applyNumberFormat="1" applyAlignment="1">
      <alignment vertical="top"/>
    </xf>
    <xf numFmtId="0" fontId="0" fillId="0" borderId="1" xfId="0" applyBorder="1" applyAlignment="1">
      <alignment horizontal="left" vertical="top"/>
    </xf>
    <xf numFmtId="44" fontId="10" fillId="0" borderId="1" xfId="0" applyNumberFormat="1" applyFont="1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4" borderId="0" xfId="0" applyFill="1" applyAlignment="1">
      <alignment horizontal="right"/>
    </xf>
  </cellXfs>
  <cellStyles count="3">
    <cellStyle name="Moneda" xfId="1" builtinId="4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0</xdr:rowOff>
    </xdr:from>
    <xdr:to>
      <xdr:col>10</xdr:col>
      <xdr:colOff>845820</xdr:colOff>
      <xdr:row>0</xdr:row>
      <xdr:rowOff>876300</xdr:rowOff>
    </xdr:to>
    <xdr:pic>
      <xdr:nvPicPr>
        <xdr:cNvPr id="2" name="Imagen 1" descr="https://lh6.googleusercontent.com/ydfiSFYPw1qo3FplgqGi_ZGY2KSk1-Kn4Dv1J_VberI8p405_DPrMiqfB0t0AeVZZobDUhnCumofgMLU3NkcI-tuwVRe5yFpufVCUsJPlkx_42x6ATGC9d1lUFuCHSB391LbY7Q5h7u0mBRYuMheKA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0"/>
          <a:ext cx="179070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41"/>
  <sheetViews>
    <sheetView tabSelected="1" topLeftCell="F178" workbookViewId="0">
      <selection activeCell="AM191" sqref="AM191"/>
    </sheetView>
  </sheetViews>
  <sheetFormatPr baseColWidth="10" defaultColWidth="8.88671875" defaultRowHeight="14.4" x14ac:dyDescent="0.3"/>
  <cols>
    <col min="1" max="1" width="7.6640625" customWidth="1"/>
    <col min="2" max="2" width="22.44140625" customWidth="1"/>
    <col min="3" max="3" width="19.44140625" customWidth="1"/>
    <col min="4" max="4" width="11.44140625" hidden="1" customWidth="1"/>
    <col min="5" max="5" width="13.109375" customWidth="1"/>
    <col min="6" max="6" width="14.5546875" customWidth="1"/>
    <col min="7" max="7" width="16" customWidth="1"/>
    <col min="8" max="9" width="11.44140625" customWidth="1"/>
    <col min="10" max="10" width="14.109375" customWidth="1"/>
    <col min="11" max="11" width="13" customWidth="1"/>
    <col min="12" max="12" width="13.5546875" customWidth="1"/>
    <col min="13" max="37" width="13.5546875" hidden="1" customWidth="1"/>
    <col min="38" max="39" width="13.5546875" customWidth="1"/>
    <col min="40" max="40" width="15.33203125" customWidth="1"/>
    <col min="41" max="41" width="12.5546875" bestFit="1" customWidth="1"/>
    <col min="42" max="256" width="11.44140625" customWidth="1"/>
  </cols>
  <sheetData>
    <row r="1" spans="1:42" ht="70.2" customHeight="1" x14ac:dyDescent="0.3"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2" spans="1:42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1" t="s">
        <v>38</v>
      </c>
    </row>
    <row r="3" spans="1:42" ht="16.5" customHeight="1" x14ac:dyDescent="0.3">
      <c r="B3" s="2" t="s">
        <v>39</v>
      </c>
      <c r="C3" s="3" t="s">
        <v>40</v>
      </c>
      <c r="D3" s="4"/>
      <c r="E3" s="5" t="s">
        <v>41</v>
      </c>
      <c r="F3" s="6" t="s">
        <v>42</v>
      </c>
      <c r="G3" s="5">
        <v>2016</v>
      </c>
      <c r="H3" s="5"/>
      <c r="I3" s="5"/>
      <c r="J3" s="5"/>
      <c r="K3" s="7">
        <v>39049</v>
      </c>
      <c r="L3" s="8">
        <v>274870.3</v>
      </c>
      <c r="M3" s="9">
        <f>+L3*0.1</f>
        <v>27487.03</v>
      </c>
      <c r="N3" s="9">
        <f>+L3-M3</f>
        <v>247383.27</v>
      </c>
      <c r="O3" s="9">
        <f>+N3/10</f>
        <v>24738.326999999997</v>
      </c>
      <c r="P3" s="9"/>
      <c r="Q3" s="9"/>
      <c r="R3" s="9"/>
      <c r="S3" s="9"/>
      <c r="T3" s="9"/>
      <c r="U3" s="9"/>
      <c r="V3" s="9"/>
      <c r="W3" s="9">
        <v>2198.96</v>
      </c>
      <c r="X3" s="9">
        <v>24738.33</v>
      </c>
      <c r="Y3" s="9">
        <v>24738.33</v>
      </c>
      <c r="Z3" s="9">
        <v>24738.33</v>
      </c>
      <c r="AA3" s="9">
        <v>24738.33</v>
      </c>
      <c r="AB3" s="9">
        <v>24738.33</v>
      </c>
      <c r="AC3" s="9">
        <v>24738.33</v>
      </c>
      <c r="AD3" s="9">
        <v>24738.33</v>
      </c>
      <c r="AE3" s="9">
        <v>24738.33</v>
      </c>
      <c r="AF3" s="9">
        <f t="shared" ref="AF3:AG5" si="0">+AE3/4*4</f>
        <v>24738.33</v>
      </c>
      <c r="AG3" s="9">
        <f>+AF3/4*4</f>
        <v>24738.33</v>
      </c>
      <c r="AH3" s="9"/>
      <c r="AI3" s="9"/>
      <c r="AJ3" s="9"/>
      <c r="AK3" s="9"/>
      <c r="AL3" s="9"/>
      <c r="AM3" s="9">
        <f>SUM(W3:AJ3)</f>
        <v>249582.26000000007</v>
      </c>
      <c r="AN3" s="9">
        <f t="shared" ref="AN3:AN34" si="1">+L3-AM3</f>
        <v>25288.039999999921</v>
      </c>
    </row>
    <row r="4" spans="1:42" ht="16.5" customHeight="1" x14ac:dyDescent="0.3">
      <c r="B4" s="10" t="s">
        <v>43</v>
      </c>
      <c r="C4" s="10" t="s">
        <v>40</v>
      </c>
      <c r="D4" s="10" t="s">
        <v>44</v>
      </c>
      <c r="E4" s="10" t="s">
        <v>45</v>
      </c>
      <c r="F4" s="10" t="s">
        <v>46</v>
      </c>
      <c r="G4" s="10" t="s">
        <v>47</v>
      </c>
      <c r="H4" s="10"/>
      <c r="I4" s="11"/>
      <c r="J4" s="10" t="s">
        <v>48</v>
      </c>
      <c r="K4" s="11">
        <v>39772</v>
      </c>
      <c r="L4" s="42">
        <v>204078</v>
      </c>
      <c r="M4" s="9">
        <f>+L4*0.1</f>
        <v>20407.800000000003</v>
      </c>
      <c r="N4" s="9">
        <f>+L4-M4</f>
        <v>183670.2</v>
      </c>
      <c r="O4" s="9"/>
      <c r="P4" s="9"/>
      <c r="Q4" s="9"/>
      <c r="R4" s="9"/>
      <c r="S4" s="9"/>
      <c r="T4" s="9"/>
      <c r="U4" s="9">
        <v>183670.2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>
        <f>+AF4-AG4</f>
        <v>0</v>
      </c>
      <c r="AI4" s="9"/>
      <c r="AJ4" s="9"/>
      <c r="AK4" s="9"/>
      <c r="AL4" s="9"/>
      <c r="AM4" s="9">
        <f>SUM(S4:AJ4)</f>
        <v>183670.2</v>
      </c>
      <c r="AN4" s="42">
        <f t="shared" si="1"/>
        <v>20407.799999999988</v>
      </c>
    </row>
    <row r="5" spans="1:42" ht="24" customHeight="1" x14ac:dyDescent="0.3">
      <c r="B5" s="2" t="s">
        <v>49</v>
      </c>
      <c r="C5" s="49" t="s">
        <v>50</v>
      </c>
      <c r="D5" s="4"/>
      <c r="E5" s="5" t="s">
        <v>41</v>
      </c>
      <c r="F5" s="6" t="s">
        <v>51</v>
      </c>
      <c r="G5" s="5">
        <v>80598</v>
      </c>
      <c r="H5" s="5"/>
      <c r="I5" s="5"/>
      <c r="J5" s="5"/>
      <c r="K5" s="7">
        <v>40665</v>
      </c>
      <c r="L5" s="8">
        <v>710796.78</v>
      </c>
      <c r="M5" s="9">
        <f>+L5*0.1</f>
        <v>71079.678</v>
      </c>
      <c r="N5" s="9">
        <f>+L5-M5</f>
        <v>639717.10200000007</v>
      </c>
      <c r="O5" s="9">
        <f>+N5/10</f>
        <v>63971.710200000009</v>
      </c>
      <c r="P5" s="9"/>
      <c r="Q5" s="9"/>
      <c r="R5" s="9"/>
      <c r="S5" s="9"/>
      <c r="T5" s="9"/>
      <c r="U5" s="9"/>
      <c r="V5" s="9"/>
      <c r="W5" s="9"/>
      <c r="X5" s="9"/>
      <c r="Y5" s="9"/>
      <c r="Z5" s="9">
        <v>42292.41</v>
      </c>
      <c r="AA5" s="9">
        <v>63971.71</v>
      </c>
      <c r="AB5" s="9">
        <v>63971.71</v>
      </c>
      <c r="AC5" s="9">
        <v>63971.71</v>
      </c>
      <c r="AD5" s="9">
        <v>63971.71</v>
      </c>
      <c r="AE5" s="9">
        <v>63971.71</v>
      </c>
      <c r="AF5" s="9">
        <f t="shared" si="0"/>
        <v>63971.71</v>
      </c>
      <c r="AG5" s="9">
        <f t="shared" si="0"/>
        <v>63971.71</v>
      </c>
      <c r="AH5" s="9">
        <v>63971.71</v>
      </c>
      <c r="AI5" s="9">
        <v>63971.71</v>
      </c>
      <c r="AJ5" s="9">
        <v>21679.3</v>
      </c>
      <c r="AK5" s="9"/>
      <c r="AL5" s="9"/>
      <c r="AM5" s="9">
        <f>+AK5+AJ5+AI5+AH5+AG5+AF5+AE5+AD5+AC5+AB5+AA5+Z5</f>
        <v>639717.10000000009</v>
      </c>
      <c r="AN5" s="9">
        <f t="shared" si="1"/>
        <v>71079.679999999935</v>
      </c>
      <c r="AO5" s="48"/>
      <c r="AP5" s="48"/>
    </row>
    <row r="6" spans="1:42" x14ac:dyDescent="0.3">
      <c r="A6" s="15"/>
      <c r="B6" s="12" t="s">
        <v>52</v>
      </c>
      <c r="C6" s="12" t="s">
        <v>53</v>
      </c>
      <c r="D6" s="12" t="s">
        <v>54</v>
      </c>
      <c r="E6" s="12" t="s">
        <v>55</v>
      </c>
      <c r="F6" s="12" t="s">
        <v>56</v>
      </c>
      <c r="G6" s="10"/>
      <c r="H6" s="12" t="s">
        <v>57</v>
      </c>
      <c r="I6" s="12" t="s">
        <v>58</v>
      </c>
      <c r="J6" s="16" t="s">
        <v>59</v>
      </c>
      <c r="K6" s="7">
        <v>41738</v>
      </c>
      <c r="L6" s="14">
        <v>129380</v>
      </c>
      <c r="M6" s="9">
        <f>+L6*0.1</f>
        <v>12938</v>
      </c>
      <c r="N6" s="9">
        <f>+L6-M6</f>
        <v>116442</v>
      </c>
      <c r="O6" s="9">
        <f>+N6/10</f>
        <v>11644.2</v>
      </c>
      <c r="P6" s="9">
        <f>11644.2/360*111</f>
        <v>3590.2950000000001</v>
      </c>
      <c r="Q6" s="9">
        <v>3590.29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>
        <v>3590.29</v>
      </c>
      <c r="AD6" s="17">
        <v>11644.2</v>
      </c>
      <c r="AE6" s="17">
        <v>11644.2</v>
      </c>
      <c r="AF6" s="9">
        <f>+AE6/4*4</f>
        <v>11644.2</v>
      </c>
      <c r="AG6" s="9">
        <f>+AF6/4*4</f>
        <v>11644.2</v>
      </c>
      <c r="AH6" s="9">
        <f>+AG6/4*4</f>
        <v>11644.2</v>
      </c>
      <c r="AI6" s="9">
        <f>+AH6/4*4</f>
        <v>11644.2</v>
      </c>
      <c r="AJ6" s="9">
        <f>+AI6/4*4</f>
        <v>11644.2</v>
      </c>
      <c r="AK6" s="9">
        <f t="shared" ref="AK6:AK34" si="2">+AJ6/12*12</f>
        <v>11644.2</v>
      </c>
      <c r="AL6" s="9">
        <f>+AK6/12*4</f>
        <v>3881.4</v>
      </c>
      <c r="AM6" s="9">
        <f>+AK6+AJ6+AI6+AH6+AG6+AF6+AE6+AD6+AC6+AL6</f>
        <v>100625.28999999998</v>
      </c>
      <c r="AN6" s="9">
        <f t="shared" si="1"/>
        <v>28754.710000000021</v>
      </c>
      <c r="AO6" s="15"/>
    </row>
    <row r="7" spans="1:42" x14ac:dyDescent="0.3">
      <c r="A7" s="15"/>
      <c r="B7" s="10" t="s">
        <v>60</v>
      </c>
      <c r="C7" s="10" t="s">
        <v>61</v>
      </c>
      <c r="D7" s="10" t="s">
        <v>62</v>
      </c>
      <c r="E7" s="10" t="s">
        <v>63</v>
      </c>
      <c r="F7" s="10" t="s">
        <v>64</v>
      </c>
      <c r="G7" s="10" t="s">
        <v>65</v>
      </c>
      <c r="H7" s="10"/>
      <c r="I7" s="10"/>
      <c r="J7" s="50" t="s">
        <v>66</v>
      </c>
      <c r="K7" s="11">
        <v>42207</v>
      </c>
      <c r="L7" s="42">
        <v>140085.14000000001</v>
      </c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1">
        <v>5533.36</v>
      </c>
      <c r="AE7" s="41">
        <v>12607.66</v>
      </c>
      <c r="AF7" s="41">
        <v>12607.66</v>
      </c>
      <c r="AG7" s="41">
        <v>12607.66</v>
      </c>
      <c r="AH7" s="41">
        <v>12607.66</v>
      </c>
      <c r="AI7" s="41">
        <v>12607.66</v>
      </c>
      <c r="AJ7" s="41">
        <v>12607.66</v>
      </c>
      <c r="AK7" s="9">
        <f t="shared" si="2"/>
        <v>12607.66</v>
      </c>
      <c r="AL7" s="9">
        <f t="shared" ref="AL7:AL34" si="3">+AK7/12*4</f>
        <v>4202.5533333333333</v>
      </c>
      <c r="AM7" s="9">
        <f t="shared" ref="AM7:AM12" si="4">+AK7+AJ7+AI7+AH7+AG7+AF7+AE7+AD7+AL7</f>
        <v>97989.53333333334</v>
      </c>
      <c r="AN7" s="42">
        <f t="shared" si="1"/>
        <v>42095.606666666674</v>
      </c>
      <c r="AO7" s="15"/>
    </row>
    <row r="8" spans="1:42" x14ac:dyDescent="0.3">
      <c r="A8" s="15"/>
      <c r="B8" s="10" t="s">
        <v>67</v>
      </c>
      <c r="C8" s="10" t="s">
        <v>61</v>
      </c>
      <c r="D8" s="10" t="s">
        <v>62</v>
      </c>
      <c r="E8" s="10" t="s">
        <v>68</v>
      </c>
      <c r="F8" s="10" t="s">
        <v>69</v>
      </c>
      <c r="G8" s="10" t="s">
        <v>70</v>
      </c>
      <c r="H8" s="10"/>
      <c r="I8" s="10"/>
      <c r="J8" s="50" t="s">
        <v>66</v>
      </c>
      <c r="K8" s="11">
        <v>42207</v>
      </c>
      <c r="L8" s="42">
        <v>108197.38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1">
        <v>4273.8</v>
      </c>
      <c r="AE8" s="41">
        <v>9737.76</v>
      </c>
      <c r="AF8" s="41">
        <v>9737.76</v>
      </c>
      <c r="AG8" s="41">
        <v>9737.76</v>
      </c>
      <c r="AH8" s="41">
        <v>9737.76</v>
      </c>
      <c r="AI8" s="41">
        <v>9737.76</v>
      </c>
      <c r="AJ8" s="41">
        <v>9737.76</v>
      </c>
      <c r="AK8" s="9">
        <f t="shared" si="2"/>
        <v>9737.76</v>
      </c>
      <c r="AL8" s="9">
        <f t="shared" si="3"/>
        <v>3245.92</v>
      </c>
      <c r="AM8" s="9">
        <f t="shared" si="4"/>
        <v>75684.040000000008</v>
      </c>
      <c r="AN8" s="42">
        <f t="shared" si="1"/>
        <v>32513.339999999997</v>
      </c>
      <c r="AO8" s="15"/>
    </row>
    <row r="9" spans="1:42" x14ac:dyDescent="0.3">
      <c r="B9" s="10" t="s">
        <v>71</v>
      </c>
      <c r="C9" s="10" t="s">
        <v>61</v>
      </c>
      <c r="D9" s="10" t="s">
        <v>62</v>
      </c>
      <c r="E9" s="10" t="s">
        <v>68</v>
      </c>
      <c r="F9" s="10" t="s">
        <v>69</v>
      </c>
      <c r="G9" s="10" t="s">
        <v>72</v>
      </c>
      <c r="H9" s="10"/>
      <c r="I9" s="10"/>
      <c r="J9" s="50" t="s">
        <v>66</v>
      </c>
      <c r="K9" s="11">
        <v>42207</v>
      </c>
      <c r="L9" s="42">
        <v>108197.38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1">
        <v>4273.8</v>
      </c>
      <c r="AE9" s="41">
        <v>9737.76</v>
      </c>
      <c r="AF9" s="41">
        <v>9737.76</v>
      </c>
      <c r="AG9" s="41">
        <v>9737.76</v>
      </c>
      <c r="AH9" s="41">
        <v>9737.76</v>
      </c>
      <c r="AI9" s="41">
        <v>9737.76</v>
      </c>
      <c r="AJ9" s="41">
        <v>9737.76</v>
      </c>
      <c r="AK9" s="9">
        <f t="shared" si="2"/>
        <v>9737.76</v>
      </c>
      <c r="AL9" s="9">
        <f t="shared" si="3"/>
        <v>3245.92</v>
      </c>
      <c r="AM9" s="9">
        <f t="shared" si="4"/>
        <v>75684.040000000008</v>
      </c>
      <c r="AN9" s="42">
        <f t="shared" si="1"/>
        <v>32513.339999999997</v>
      </c>
    </row>
    <row r="10" spans="1:42" x14ac:dyDescent="0.3">
      <c r="B10" s="12" t="s">
        <v>73</v>
      </c>
      <c r="C10" s="12" t="s">
        <v>74</v>
      </c>
      <c r="D10" s="12" t="s">
        <v>54</v>
      </c>
      <c r="E10" s="12" t="s">
        <v>75</v>
      </c>
      <c r="F10" s="12" t="s">
        <v>76</v>
      </c>
      <c r="G10" s="12" t="s">
        <v>77</v>
      </c>
      <c r="H10" s="12" t="s">
        <v>78</v>
      </c>
      <c r="I10" s="12" t="s">
        <v>58</v>
      </c>
      <c r="J10" s="12" t="s">
        <v>79</v>
      </c>
      <c r="K10" s="7">
        <v>42237</v>
      </c>
      <c r="L10" s="14">
        <v>68000</v>
      </c>
      <c r="M10" s="9">
        <f t="shared" ref="M10:M22" si="5">+L10*0.1</f>
        <v>6800</v>
      </c>
      <c r="N10" s="9">
        <f t="shared" ref="N10:N22" si="6">+L10-M10</f>
        <v>61200</v>
      </c>
      <c r="O10" s="9">
        <f t="shared" ref="O10:O22" si="7">+N10/10</f>
        <v>6120</v>
      </c>
      <c r="P10" s="17">
        <f>129*6120/360</f>
        <v>2193</v>
      </c>
      <c r="Q10" s="9">
        <v>2193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>
        <v>2193</v>
      </c>
      <c r="AE10" s="17">
        <v>6120</v>
      </c>
      <c r="AF10" s="9">
        <f t="shared" ref="AF10:AJ13" si="8">+AE10/4*4</f>
        <v>6120</v>
      </c>
      <c r="AG10" s="9">
        <f t="shared" si="8"/>
        <v>6120</v>
      </c>
      <c r="AH10" s="9">
        <f t="shared" si="8"/>
        <v>6120</v>
      </c>
      <c r="AI10" s="9">
        <f t="shared" si="8"/>
        <v>6120</v>
      </c>
      <c r="AJ10" s="9">
        <f t="shared" si="8"/>
        <v>6120</v>
      </c>
      <c r="AK10" s="9">
        <f t="shared" si="2"/>
        <v>6120</v>
      </c>
      <c r="AL10" s="9">
        <f t="shared" si="3"/>
        <v>2040</v>
      </c>
      <c r="AM10" s="9">
        <f t="shared" si="4"/>
        <v>47073</v>
      </c>
      <c r="AN10" s="9">
        <f t="shared" si="1"/>
        <v>20927</v>
      </c>
    </row>
    <row r="11" spans="1:42" x14ac:dyDescent="0.3">
      <c r="B11" s="12" t="s">
        <v>80</v>
      </c>
      <c r="C11" s="13" t="s">
        <v>81</v>
      </c>
      <c r="D11" s="12" t="s">
        <v>54</v>
      </c>
      <c r="E11" s="12" t="s">
        <v>82</v>
      </c>
      <c r="F11" s="12" t="s">
        <v>83</v>
      </c>
      <c r="G11" s="12" t="s">
        <v>84</v>
      </c>
      <c r="H11" s="12" t="s">
        <v>85</v>
      </c>
      <c r="I11" s="12" t="s">
        <v>58</v>
      </c>
      <c r="J11" s="16" t="s">
        <v>59</v>
      </c>
      <c r="K11" s="7">
        <v>42324</v>
      </c>
      <c r="L11" s="14">
        <v>79831</v>
      </c>
      <c r="M11" s="9">
        <f t="shared" si="5"/>
        <v>7983.1</v>
      </c>
      <c r="N11" s="9">
        <f t="shared" si="6"/>
        <v>71847.899999999994</v>
      </c>
      <c r="O11" s="9">
        <f t="shared" si="7"/>
        <v>7184.7899999999991</v>
      </c>
      <c r="P11" s="17">
        <f>44*7184.79/360</f>
        <v>878.14100000000008</v>
      </c>
      <c r="Q11" s="17">
        <v>878.14</v>
      </c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>
        <v>878.14</v>
      </c>
      <c r="AE11" s="17">
        <v>7184.79</v>
      </c>
      <c r="AF11" s="9">
        <f t="shared" si="8"/>
        <v>7184.79</v>
      </c>
      <c r="AG11" s="9">
        <f t="shared" si="8"/>
        <v>7184.79</v>
      </c>
      <c r="AH11" s="9">
        <f t="shared" si="8"/>
        <v>7184.79</v>
      </c>
      <c r="AI11" s="9">
        <f t="shared" si="8"/>
        <v>7184.79</v>
      </c>
      <c r="AJ11" s="9">
        <f t="shared" si="8"/>
        <v>7184.79</v>
      </c>
      <c r="AK11" s="9">
        <f t="shared" si="2"/>
        <v>7184.7899999999991</v>
      </c>
      <c r="AL11" s="9">
        <f t="shared" si="3"/>
        <v>2394.9299999999998</v>
      </c>
      <c r="AM11" s="9">
        <f t="shared" si="4"/>
        <v>53566.6</v>
      </c>
      <c r="AN11" s="9">
        <f t="shared" si="1"/>
        <v>26264.400000000001</v>
      </c>
    </row>
    <row r="12" spans="1:42" x14ac:dyDescent="0.3">
      <c r="B12" s="12" t="s">
        <v>86</v>
      </c>
      <c r="C12" s="12" t="s">
        <v>87</v>
      </c>
      <c r="D12" s="12" t="s">
        <v>54</v>
      </c>
      <c r="E12" s="12" t="s">
        <v>45</v>
      </c>
      <c r="F12" s="12" t="s">
        <v>88</v>
      </c>
      <c r="G12" s="12" t="s">
        <v>89</v>
      </c>
      <c r="H12" s="12" t="s">
        <v>85</v>
      </c>
      <c r="I12" s="12" t="s">
        <v>58</v>
      </c>
      <c r="J12" s="16" t="s">
        <v>59</v>
      </c>
      <c r="K12" s="7">
        <v>42334</v>
      </c>
      <c r="L12" s="14">
        <v>96728.09</v>
      </c>
      <c r="M12" s="9">
        <f t="shared" si="5"/>
        <v>9672.8089999999993</v>
      </c>
      <c r="N12" s="9">
        <f t="shared" si="6"/>
        <v>87055.281000000003</v>
      </c>
      <c r="O12" s="9">
        <f t="shared" si="7"/>
        <v>8705.5280999999995</v>
      </c>
      <c r="P12" s="9">
        <f>34*8705.53/360</f>
        <v>822.18894444444447</v>
      </c>
      <c r="Q12" s="9">
        <v>822.19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>
        <v>822.19</v>
      </c>
      <c r="AE12" s="17">
        <v>8705.5300000000007</v>
      </c>
      <c r="AF12" s="9">
        <f t="shared" si="8"/>
        <v>8705.5300000000007</v>
      </c>
      <c r="AG12" s="9">
        <f t="shared" si="8"/>
        <v>8705.5300000000007</v>
      </c>
      <c r="AH12" s="9">
        <f t="shared" si="8"/>
        <v>8705.5300000000007</v>
      </c>
      <c r="AI12" s="9">
        <f t="shared" si="8"/>
        <v>8705.5300000000007</v>
      </c>
      <c r="AJ12" s="9">
        <f t="shared" si="8"/>
        <v>8705.5300000000007</v>
      </c>
      <c r="AK12" s="9">
        <f t="shared" si="2"/>
        <v>8705.5300000000007</v>
      </c>
      <c r="AL12" s="9">
        <f t="shared" si="3"/>
        <v>2901.8433333333337</v>
      </c>
      <c r="AM12" s="9">
        <f t="shared" si="4"/>
        <v>64662.743333333332</v>
      </c>
      <c r="AN12" s="9">
        <f t="shared" si="1"/>
        <v>32065.346666666665</v>
      </c>
    </row>
    <row r="13" spans="1:42" x14ac:dyDescent="0.3">
      <c r="B13" s="12" t="s">
        <v>90</v>
      </c>
      <c r="C13" s="12" t="s">
        <v>91</v>
      </c>
      <c r="D13" s="12" t="s">
        <v>54</v>
      </c>
      <c r="E13" s="12" t="s">
        <v>45</v>
      </c>
      <c r="F13" s="12" t="s">
        <v>88</v>
      </c>
      <c r="G13" s="12" t="s">
        <v>92</v>
      </c>
      <c r="H13" s="12" t="s">
        <v>57</v>
      </c>
      <c r="I13" s="12" t="s">
        <v>58</v>
      </c>
      <c r="J13" s="16" t="s">
        <v>59</v>
      </c>
      <c r="K13" s="7">
        <v>42494</v>
      </c>
      <c r="L13" s="14">
        <v>79608.5</v>
      </c>
      <c r="M13" s="9">
        <f t="shared" si="5"/>
        <v>7960.85</v>
      </c>
      <c r="N13" s="9">
        <f t="shared" si="6"/>
        <v>71647.649999999994</v>
      </c>
      <c r="O13" s="9">
        <f t="shared" si="7"/>
        <v>7164.7649999999994</v>
      </c>
      <c r="P13" s="17">
        <f>7164.76*266/360</f>
        <v>5293.9615555555556</v>
      </c>
      <c r="Q13" s="17">
        <v>5293.96</v>
      </c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>
        <v>5293.96</v>
      </c>
      <c r="AF13" s="9">
        <f t="shared" si="8"/>
        <v>5293.96</v>
      </c>
      <c r="AG13" s="9">
        <f t="shared" si="8"/>
        <v>5293.96</v>
      </c>
      <c r="AH13" s="9">
        <f t="shared" si="8"/>
        <v>5293.96</v>
      </c>
      <c r="AI13" s="9">
        <f t="shared" si="8"/>
        <v>5293.96</v>
      </c>
      <c r="AJ13" s="9">
        <f t="shared" si="8"/>
        <v>5293.96</v>
      </c>
      <c r="AK13" s="9">
        <f t="shared" si="2"/>
        <v>5293.96</v>
      </c>
      <c r="AL13" s="9">
        <f t="shared" si="3"/>
        <v>1764.6533333333334</v>
      </c>
      <c r="AM13" s="9">
        <f t="shared" ref="AM13:AM23" si="9">+AK13+AJ13+AI13+AH13+AG13+AF13+AE13+AL13</f>
        <v>38822.373333333337</v>
      </c>
      <c r="AN13" s="9">
        <f t="shared" si="1"/>
        <v>40786.126666666663</v>
      </c>
    </row>
    <row r="14" spans="1:42" x14ac:dyDescent="0.3">
      <c r="B14" s="12" t="s">
        <v>93</v>
      </c>
      <c r="C14" s="13" t="s">
        <v>94</v>
      </c>
      <c r="D14" s="12" t="s">
        <v>95</v>
      </c>
      <c r="E14" s="12" t="s">
        <v>96</v>
      </c>
      <c r="F14" s="12" t="s">
        <v>97</v>
      </c>
      <c r="G14" s="12" t="s">
        <v>98</v>
      </c>
      <c r="H14" s="12" t="s">
        <v>85</v>
      </c>
      <c r="I14" s="12" t="s">
        <v>58</v>
      </c>
      <c r="J14" s="16" t="s">
        <v>99</v>
      </c>
      <c r="K14" s="7">
        <v>42639</v>
      </c>
      <c r="L14" s="14">
        <v>55996.33</v>
      </c>
      <c r="M14" s="9">
        <f t="shared" si="5"/>
        <v>5599.6330000000007</v>
      </c>
      <c r="N14" s="9">
        <f t="shared" si="6"/>
        <v>50396.697</v>
      </c>
      <c r="O14" s="9">
        <f t="shared" si="7"/>
        <v>5039.6697000000004</v>
      </c>
      <c r="P14" s="17">
        <f>5039.66/360*94</f>
        <v>1315.9112222222222</v>
      </c>
      <c r="Q14" s="17">
        <v>1315.91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>
        <v>1315.91</v>
      </c>
      <c r="AF14" s="17">
        <v>5039.67</v>
      </c>
      <c r="AG14" s="17">
        <v>5039.67</v>
      </c>
      <c r="AH14" s="17">
        <v>5039.67</v>
      </c>
      <c r="AI14" s="17">
        <v>5039.67</v>
      </c>
      <c r="AJ14" s="17">
        <v>5039.67</v>
      </c>
      <c r="AK14" s="9">
        <f t="shared" si="2"/>
        <v>5039.67</v>
      </c>
      <c r="AL14" s="9">
        <f t="shared" si="3"/>
        <v>1679.89</v>
      </c>
      <c r="AM14" s="9">
        <f t="shared" si="9"/>
        <v>33233.82</v>
      </c>
      <c r="AN14" s="9">
        <f t="shared" si="1"/>
        <v>22762.510000000002</v>
      </c>
    </row>
    <row r="15" spans="1:42" x14ac:dyDescent="0.3">
      <c r="B15" s="12" t="s">
        <v>100</v>
      </c>
      <c r="C15" s="13" t="s">
        <v>101</v>
      </c>
      <c r="D15" s="12" t="s">
        <v>95</v>
      </c>
      <c r="E15" s="12" t="s">
        <v>102</v>
      </c>
      <c r="F15" s="13" t="s">
        <v>103</v>
      </c>
      <c r="G15" s="12" t="s">
        <v>104</v>
      </c>
      <c r="H15" s="12" t="s">
        <v>78</v>
      </c>
      <c r="I15" s="12" t="s">
        <v>58</v>
      </c>
      <c r="J15" s="16" t="s">
        <v>99</v>
      </c>
      <c r="K15" s="7">
        <v>42639</v>
      </c>
      <c r="L15" s="14">
        <v>57787.68</v>
      </c>
      <c r="M15" s="9">
        <f t="shared" si="5"/>
        <v>5778.768</v>
      </c>
      <c r="N15" s="9">
        <f t="shared" si="6"/>
        <v>52008.911999999997</v>
      </c>
      <c r="O15" s="9">
        <f t="shared" si="7"/>
        <v>5200.8912</v>
      </c>
      <c r="P15" s="17">
        <f>5200.89/360*94</f>
        <v>1358.0101666666669</v>
      </c>
      <c r="Q15" s="17">
        <v>1358.01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>
        <v>1358.01</v>
      </c>
      <c r="AF15" s="17">
        <v>5200.8900000000003</v>
      </c>
      <c r="AG15" s="17">
        <v>5200.8900000000003</v>
      </c>
      <c r="AH15" s="17">
        <v>5200.8900000000003</v>
      </c>
      <c r="AI15" s="17">
        <v>5200.8900000000003</v>
      </c>
      <c r="AJ15" s="17">
        <v>5200.8900000000003</v>
      </c>
      <c r="AK15" s="9">
        <f t="shared" si="2"/>
        <v>5200.8900000000003</v>
      </c>
      <c r="AL15" s="9">
        <f t="shared" si="3"/>
        <v>1733.63</v>
      </c>
      <c r="AM15" s="9">
        <f t="shared" si="9"/>
        <v>34296.979999999996</v>
      </c>
      <c r="AN15" s="9">
        <f t="shared" si="1"/>
        <v>23490.700000000004</v>
      </c>
    </row>
    <row r="16" spans="1:42" x14ac:dyDescent="0.3">
      <c r="B16" s="12" t="s">
        <v>105</v>
      </c>
      <c r="C16" s="12" t="s">
        <v>106</v>
      </c>
      <c r="D16" s="12" t="s">
        <v>95</v>
      </c>
      <c r="E16" s="12" t="s">
        <v>107</v>
      </c>
      <c r="F16" s="12" t="s">
        <v>108</v>
      </c>
      <c r="G16" s="12" t="s">
        <v>109</v>
      </c>
      <c r="H16" s="12" t="s">
        <v>85</v>
      </c>
      <c r="I16" s="12" t="s">
        <v>58</v>
      </c>
      <c r="J16" s="16" t="s">
        <v>99</v>
      </c>
      <c r="K16" s="7">
        <v>42639</v>
      </c>
      <c r="L16" s="14">
        <v>64736.03</v>
      </c>
      <c r="M16" s="9">
        <f t="shared" si="5"/>
        <v>6473.6030000000001</v>
      </c>
      <c r="N16" s="9">
        <f t="shared" si="6"/>
        <v>58262.426999999996</v>
      </c>
      <c r="O16" s="9">
        <f t="shared" si="7"/>
        <v>5826.2426999999998</v>
      </c>
      <c r="P16" s="9">
        <f>94*5826.24/360</f>
        <v>1521.2959999999998</v>
      </c>
      <c r="Q16" s="9">
        <v>1521.3</v>
      </c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>
        <v>1521.3</v>
      </c>
      <c r="AF16" s="9">
        <v>5826.24</v>
      </c>
      <c r="AG16" s="9">
        <f>+AF16/4*4</f>
        <v>5826.24</v>
      </c>
      <c r="AH16" s="9">
        <f>+AG16/4*4</f>
        <v>5826.24</v>
      </c>
      <c r="AI16" s="9">
        <f>+AH16/4*4</f>
        <v>5826.24</v>
      </c>
      <c r="AJ16" s="9">
        <f>+AI16/4*4</f>
        <v>5826.24</v>
      </c>
      <c r="AK16" s="9">
        <f t="shared" si="2"/>
        <v>5826.24</v>
      </c>
      <c r="AL16" s="9">
        <f t="shared" si="3"/>
        <v>1942.08</v>
      </c>
      <c r="AM16" s="9">
        <f t="shared" si="9"/>
        <v>38420.82</v>
      </c>
      <c r="AN16" s="9">
        <f t="shared" si="1"/>
        <v>26315.21</v>
      </c>
    </row>
    <row r="17" spans="2:40" x14ac:dyDescent="0.3">
      <c r="B17" s="12" t="s">
        <v>110</v>
      </c>
      <c r="C17" s="12" t="s">
        <v>111</v>
      </c>
      <c r="D17" s="12" t="s">
        <v>95</v>
      </c>
      <c r="E17" s="12" t="s">
        <v>112</v>
      </c>
      <c r="F17" s="13" t="s">
        <v>113</v>
      </c>
      <c r="G17" s="12" t="s">
        <v>114</v>
      </c>
      <c r="H17" s="12" t="s">
        <v>115</v>
      </c>
      <c r="I17" s="12" t="s">
        <v>58</v>
      </c>
      <c r="J17" s="16" t="s">
        <v>99</v>
      </c>
      <c r="K17" s="7">
        <v>42639</v>
      </c>
      <c r="L17" s="14">
        <v>1129211.96</v>
      </c>
      <c r="M17" s="9">
        <f t="shared" si="5"/>
        <v>112921.196</v>
      </c>
      <c r="N17" s="9">
        <f t="shared" si="6"/>
        <v>1016290.764</v>
      </c>
      <c r="O17" s="9">
        <f t="shared" si="7"/>
        <v>101629.07639999999</v>
      </c>
      <c r="P17" s="9">
        <f>101629.08/360*94</f>
        <v>26536.482</v>
      </c>
      <c r="Q17" s="9">
        <v>26536.48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>
        <v>26536.48</v>
      </c>
      <c r="AF17" s="9">
        <f>+O17</f>
        <v>101629.07639999999</v>
      </c>
      <c r="AG17" s="9">
        <v>101629.08</v>
      </c>
      <c r="AH17" s="9">
        <v>101629.08</v>
      </c>
      <c r="AI17" s="9">
        <v>101629.08</v>
      </c>
      <c r="AJ17" s="9">
        <v>101629.08</v>
      </c>
      <c r="AK17" s="9">
        <f t="shared" si="2"/>
        <v>101629.08</v>
      </c>
      <c r="AL17" s="9">
        <f t="shared" si="3"/>
        <v>33876.36</v>
      </c>
      <c r="AM17" s="9">
        <f t="shared" si="9"/>
        <v>670187.31640000001</v>
      </c>
      <c r="AN17" s="9">
        <f t="shared" si="1"/>
        <v>459024.64359999995</v>
      </c>
    </row>
    <row r="18" spans="2:40" ht="18" x14ac:dyDescent="0.35">
      <c r="B18" s="10" t="s">
        <v>116</v>
      </c>
      <c r="C18" s="10" t="s">
        <v>117</v>
      </c>
      <c r="D18" s="10" t="s">
        <v>118</v>
      </c>
      <c r="E18" s="10" t="s">
        <v>119</v>
      </c>
      <c r="F18" s="10" t="s">
        <v>47</v>
      </c>
      <c r="G18" s="10" t="s">
        <v>47</v>
      </c>
      <c r="H18" s="10"/>
      <c r="I18" s="10"/>
      <c r="J18" s="10" t="s">
        <v>66</v>
      </c>
      <c r="K18" s="11">
        <v>42692</v>
      </c>
      <c r="L18" s="42">
        <v>158181.15</v>
      </c>
      <c r="M18" s="9">
        <f t="shared" si="5"/>
        <v>15818.115</v>
      </c>
      <c r="N18" s="9">
        <f t="shared" si="6"/>
        <v>142363.035</v>
      </c>
      <c r="O18" s="9">
        <f t="shared" si="7"/>
        <v>14236.3035</v>
      </c>
      <c r="P18" s="24"/>
      <c r="Q18" s="24"/>
      <c r="R18" s="25"/>
      <c r="S18" s="25"/>
      <c r="T18" s="25"/>
      <c r="U18" s="25"/>
      <c r="V18" s="25"/>
      <c r="W18" s="25"/>
      <c r="X18" s="25"/>
      <c r="Y18" s="25"/>
      <c r="Z18" s="25"/>
      <c r="AA18" s="5"/>
      <c r="AB18" s="5"/>
      <c r="AC18" s="5"/>
      <c r="AD18" s="5"/>
      <c r="AE18" s="41">
        <v>632.72</v>
      </c>
      <c r="AF18" s="41">
        <v>14236.3</v>
      </c>
      <c r="AG18" s="41">
        <v>14236.3</v>
      </c>
      <c r="AH18" s="41">
        <v>14236.3</v>
      </c>
      <c r="AI18" s="41">
        <v>14236.3</v>
      </c>
      <c r="AJ18" s="41">
        <v>14236.3</v>
      </c>
      <c r="AK18" s="9">
        <f t="shared" si="2"/>
        <v>14236.3</v>
      </c>
      <c r="AL18" s="9">
        <f t="shared" si="3"/>
        <v>4745.4333333333334</v>
      </c>
      <c r="AM18" s="9">
        <f t="shared" si="9"/>
        <v>90795.953333333338</v>
      </c>
      <c r="AN18" s="42">
        <f t="shared" si="1"/>
        <v>67385.196666666656</v>
      </c>
    </row>
    <row r="19" spans="2:40" ht="18" x14ac:dyDescent="0.35">
      <c r="B19" s="10" t="s">
        <v>120</v>
      </c>
      <c r="C19" s="10" t="s">
        <v>117</v>
      </c>
      <c r="D19" s="10" t="s">
        <v>118</v>
      </c>
      <c r="E19" s="10" t="s">
        <v>119</v>
      </c>
      <c r="F19" s="10" t="s">
        <v>47</v>
      </c>
      <c r="G19" s="10" t="s">
        <v>47</v>
      </c>
      <c r="H19" s="10"/>
      <c r="I19" s="10"/>
      <c r="J19" s="10" t="s">
        <v>66</v>
      </c>
      <c r="K19" s="11">
        <v>42718</v>
      </c>
      <c r="L19" s="42">
        <v>102617.76</v>
      </c>
      <c r="M19" s="9">
        <f t="shared" si="5"/>
        <v>10261.776</v>
      </c>
      <c r="N19" s="9">
        <f t="shared" si="6"/>
        <v>92355.983999999997</v>
      </c>
      <c r="O19" s="9">
        <f t="shared" si="7"/>
        <v>9235.5983999999989</v>
      </c>
      <c r="P19" s="24"/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5"/>
      <c r="AB19" s="5"/>
      <c r="AC19" s="5"/>
      <c r="AD19" s="5"/>
      <c r="AE19" s="41">
        <v>410.47</v>
      </c>
      <c r="AF19" s="41">
        <v>9235.6</v>
      </c>
      <c r="AG19" s="41">
        <v>9235.6</v>
      </c>
      <c r="AH19" s="41">
        <v>9235.6</v>
      </c>
      <c r="AI19" s="41">
        <v>9235.6</v>
      </c>
      <c r="AJ19" s="41">
        <v>9235.6</v>
      </c>
      <c r="AK19" s="9">
        <f t="shared" si="2"/>
        <v>9235.6</v>
      </c>
      <c r="AL19" s="9">
        <f t="shared" si="3"/>
        <v>3078.5333333333333</v>
      </c>
      <c r="AM19" s="9">
        <f t="shared" si="9"/>
        <v>58902.603333333333</v>
      </c>
      <c r="AN19" s="42">
        <f t="shared" si="1"/>
        <v>43715.156666666662</v>
      </c>
    </row>
    <row r="20" spans="2:40" ht="18" x14ac:dyDescent="0.35">
      <c r="B20" s="10" t="s">
        <v>121</v>
      </c>
      <c r="C20" s="10" t="s">
        <v>117</v>
      </c>
      <c r="D20" s="10" t="s">
        <v>118</v>
      </c>
      <c r="E20" s="10" t="s">
        <v>119</v>
      </c>
      <c r="F20" s="10" t="s">
        <v>47</v>
      </c>
      <c r="G20" s="10" t="s">
        <v>47</v>
      </c>
      <c r="H20" s="10"/>
      <c r="I20" s="10"/>
      <c r="J20" s="10" t="s">
        <v>66</v>
      </c>
      <c r="K20" s="11">
        <v>42718</v>
      </c>
      <c r="L20" s="42">
        <v>152051.99</v>
      </c>
      <c r="M20" s="9">
        <f t="shared" si="5"/>
        <v>15205.199000000001</v>
      </c>
      <c r="N20" s="9">
        <f t="shared" si="6"/>
        <v>136846.791</v>
      </c>
      <c r="O20" s="9">
        <f t="shared" si="7"/>
        <v>13684.679099999999</v>
      </c>
      <c r="P20" s="24"/>
      <c r="Q20" s="24"/>
      <c r="R20" s="25"/>
      <c r="S20" s="25"/>
      <c r="T20" s="25"/>
      <c r="U20" s="25"/>
      <c r="V20" s="25"/>
      <c r="W20" s="25"/>
      <c r="X20" s="25"/>
      <c r="Y20" s="25"/>
      <c r="Z20" s="25"/>
      <c r="AA20" s="5"/>
      <c r="AB20" s="5"/>
      <c r="AC20" s="5"/>
      <c r="AD20" s="5"/>
      <c r="AE20" s="41">
        <v>608.21</v>
      </c>
      <c r="AF20" s="41">
        <v>13684.68</v>
      </c>
      <c r="AG20" s="41">
        <v>13684.68</v>
      </c>
      <c r="AH20" s="41">
        <v>13684.68</v>
      </c>
      <c r="AI20" s="41">
        <v>13684.68</v>
      </c>
      <c r="AJ20" s="41">
        <v>13684.68</v>
      </c>
      <c r="AK20" s="9">
        <f t="shared" si="2"/>
        <v>13684.68</v>
      </c>
      <c r="AL20" s="9">
        <f t="shared" si="3"/>
        <v>4561.5600000000004</v>
      </c>
      <c r="AM20" s="9">
        <f t="shared" si="9"/>
        <v>87277.849999999991</v>
      </c>
      <c r="AN20" s="42">
        <f t="shared" si="1"/>
        <v>64774.14</v>
      </c>
    </row>
    <row r="21" spans="2:40" x14ac:dyDescent="0.3">
      <c r="B21" s="10" t="s">
        <v>122</v>
      </c>
      <c r="C21" s="10" t="s">
        <v>117</v>
      </c>
      <c r="D21" s="10" t="s">
        <v>118</v>
      </c>
      <c r="E21" s="10" t="s">
        <v>119</v>
      </c>
      <c r="F21" s="10" t="s">
        <v>47</v>
      </c>
      <c r="G21" s="10" t="s">
        <v>47</v>
      </c>
      <c r="H21" s="10"/>
      <c r="I21" s="10"/>
      <c r="J21" s="10" t="s">
        <v>66</v>
      </c>
      <c r="K21" s="11">
        <v>42718</v>
      </c>
      <c r="L21" s="42">
        <v>86668.11</v>
      </c>
      <c r="M21" s="9">
        <f t="shared" si="5"/>
        <v>8666.8109999999997</v>
      </c>
      <c r="N21" s="9">
        <f t="shared" si="6"/>
        <v>78001.298999999999</v>
      </c>
      <c r="O21" s="9">
        <f t="shared" si="7"/>
        <v>7800.1298999999999</v>
      </c>
      <c r="P21" s="5"/>
      <c r="Q21" s="2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41">
        <v>346.67</v>
      </c>
      <c r="AF21" s="41">
        <v>7800.13</v>
      </c>
      <c r="AG21" s="41">
        <v>7800.13</v>
      </c>
      <c r="AH21" s="41">
        <v>7800.13</v>
      </c>
      <c r="AI21" s="41">
        <v>7800.13</v>
      </c>
      <c r="AJ21" s="9">
        <f>+O21/12*12</f>
        <v>7800.1298999999999</v>
      </c>
      <c r="AK21" s="9">
        <f t="shared" si="2"/>
        <v>7800.1298999999999</v>
      </c>
      <c r="AL21" s="9">
        <f t="shared" si="3"/>
        <v>2600.0432999999998</v>
      </c>
      <c r="AM21" s="9">
        <f t="shared" si="9"/>
        <v>49747.493099999992</v>
      </c>
      <c r="AN21" s="42">
        <f t="shared" si="1"/>
        <v>36920.616900000008</v>
      </c>
    </row>
    <row r="22" spans="2:40" ht="15.6" x14ac:dyDescent="0.3">
      <c r="B22" s="10" t="s">
        <v>123</v>
      </c>
      <c r="C22" s="10" t="s">
        <v>117</v>
      </c>
      <c r="D22" s="10" t="s">
        <v>118</v>
      </c>
      <c r="E22" s="10" t="s">
        <v>119</v>
      </c>
      <c r="F22" s="10" t="s">
        <v>47</v>
      </c>
      <c r="G22" s="10" t="s">
        <v>47</v>
      </c>
      <c r="H22" s="10"/>
      <c r="I22" s="10"/>
      <c r="J22" s="10" t="s">
        <v>66</v>
      </c>
      <c r="K22" s="11">
        <v>42718</v>
      </c>
      <c r="L22" s="42">
        <v>170012.88</v>
      </c>
      <c r="M22" s="9">
        <f t="shared" si="5"/>
        <v>17001.288</v>
      </c>
      <c r="N22" s="9">
        <f t="shared" si="6"/>
        <v>153011.592</v>
      </c>
      <c r="O22" s="9">
        <f t="shared" si="7"/>
        <v>15301.1592</v>
      </c>
      <c r="P22" s="24"/>
      <c r="Q22" s="24"/>
      <c r="R22" s="26"/>
      <c r="S22" s="26"/>
      <c r="T22" s="26"/>
      <c r="U22" s="26"/>
      <c r="V22" s="26"/>
      <c r="W22" s="26"/>
      <c r="X22" s="26"/>
      <c r="Y22" s="26"/>
      <c r="Z22" s="26"/>
      <c r="AA22" s="5"/>
      <c r="AB22" s="5"/>
      <c r="AC22" s="5"/>
      <c r="AD22" s="5"/>
      <c r="AE22" s="41">
        <v>680.05</v>
      </c>
      <c r="AF22" s="41">
        <v>15301.16</v>
      </c>
      <c r="AG22" s="41">
        <v>15301.16</v>
      </c>
      <c r="AH22" s="41">
        <v>15301.16</v>
      </c>
      <c r="AI22" s="41">
        <v>15301.16</v>
      </c>
      <c r="AJ22" s="9">
        <f>+O22/12*12</f>
        <v>15301.159200000002</v>
      </c>
      <c r="AK22" s="9">
        <f t="shared" si="2"/>
        <v>15301.159200000002</v>
      </c>
      <c r="AL22" s="9">
        <f t="shared" si="3"/>
        <v>5100.3864000000003</v>
      </c>
      <c r="AM22" s="9">
        <f t="shared" si="9"/>
        <v>97587.394800000024</v>
      </c>
      <c r="AN22" s="42">
        <f t="shared" si="1"/>
        <v>72425.485199999981</v>
      </c>
    </row>
    <row r="23" spans="2:40" x14ac:dyDescent="0.3">
      <c r="B23" s="10" t="s">
        <v>124</v>
      </c>
      <c r="C23" s="10" t="s">
        <v>117</v>
      </c>
      <c r="D23" s="10" t="s">
        <v>118</v>
      </c>
      <c r="E23" s="10" t="s">
        <v>119</v>
      </c>
      <c r="F23" s="10" t="s">
        <v>47</v>
      </c>
      <c r="G23" s="10" t="s">
        <v>47</v>
      </c>
      <c r="H23" s="10"/>
      <c r="I23" s="10"/>
      <c r="J23" s="50" t="s">
        <v>66</v>
      </c>
      <c r="K23" s="11">
        <v>42718</v>
      </c>
      <c r="L23" s="42">
        <v>208777.97</v>
      </c>
      <c r="M23" s="9">
        <f>+L23*0.1</f>
        <v>20877.797000000002</v>
      </c>
      <c r="N23" s="9">
        <f>+L23-M23</f>
        <v>187900.17300000001</v>
      </c>
      <c r="O23" s="9">
        <f>+N23/10</f>
        <v>18790.0173</v>
      </c>
      <c r="P23" s="27"/>
      <c r="Q23" s="27"/>
      <c r="R23" s="9"/>
      <c r="S23" s="9"/>
      <c r="T23" s="9"/>
      <c r="U23" s="9"/>
      <c r="V23" s="9"/>
      <c r="W23" s="9"/>
      <c r="X23" s="9"/>
      <c r="Y23" s="9"/>
      <c r="Z23" s="9"/>
      <c r="AA23" s="5"/>
      <c r="AB23" s="5"/>
      <c r="AC23" s="5"/>
      <c r="AD23" s="5"/>
      <c r="AE23" s="41">
        <v>835.11</v>
      </c>
      <c r="AF23" s="41">
        <v>18790.02</v>
      </c>
      <c r="AG23" s="41">
        <v>18790.02</v>
      </c>
      <c r="AH23" s="41">
        <v>18790.02</v>
      </c>
      <c r="AI23" s="41">
        <v>18790.02</v>
      </c>
      <c r="AJ23" s="9">
        <f>+O23/12*12</f>
        <v>18790.0173</v>
      </c>
      <c r="AK23" s="9">
        <f t="shared" si="2"/>
        <v>18790.0173</v>
      </c>
      <c r="AL23" s="9">
        <f t="shared" si="3"/>
        <v>6263.3391000000001</v>
      </c>
      <c r="AM23" s="9">
        <f t="shared" si="9"/>
        <v>119838.56370000001</v>
      </c>
      <c r="AN23" s="42">
        <f t="shared" si="1"/>
        <v>88939.406299999988</v>
      </c>
    </row>
    <row r="24" spans="2:40" ht="18" x14ac:dyDescent="0.35">
      <c r="B24" s="10" t="s">
        <v>125</v>
      </c>
      <c r="C24" s="10" t="s">
        <v>117</v>
      </c>
      <c r="D24" s="10" t="s">
        <v>118</v>
      </c>
      <c r="E24" s="10" t="s">
        <v>119</v>
      </c>
      <c r="F24" s="10" t="s">
        <v>47</v>
      </c>
      <c r="G24" s="10" t="s">
        <v>47</v>
      </c>
      <c r="H24" s="10"/>
      <c r="I24" s="10"/>
      <c r="J24" s="50" t="s">
        <v>66</v>
      </c>
      <c r="K24" s="28">
        <v>42718</v>
      </c>
      <c r="L24" s="42">
        <v>208777.97</v>
      </c>
      <c r="M24" s="9">
        <f>+L24*0.1</f>
        <v>20877.797000000002</v>
      </c>
      <c r="N24" s="9">
        <f>+L24-M24</f>
        <v>187900.17300000001</v>
      </c>
      <c r="O24" s="9">
        <f>+N24/10</f>
        <v>18790.0173</v>
      </c>
      <c r="P24" s="24"/>
      <c r="Q24" s="24"/>
      <c r="R24" s="25"/>
      <c r="S24" s="25"/>
      <c r="T24" s="25"/>
      <c r="U24" s="25"/>
      <c r="V24" s="25"/>
      <c r="W24" s="25"/>
      <c r="X24" s="25"/>
      <c r="Y24" s="25"/>
      <c r="Z24" s="25"/>
      <c r="AA24" s="5"/>
      <c r="AB24" s="5"/>
      <c r="AC24" s="5"/>
      <c r="AD24" s="5"/>
      <c r="AE24" s="41">
        <v>835.11</v>
      </c>
      <c r="AF24" s="41">
        <v>18790.02</v>
      </c>
      <c r="AG24" s="41">
        <v>18790.02</v>
      </c>
      <c r="AH24" s="41">
        <v>18790.02</v>
      </c>
      <c r="AI24" s="41">
        <v>18790.02</v>
      </c>
      <c r="AJ24" s="9">
        <f>+O24/12*12</f>
        <v>18790.0173</v>
      </c>
      <c r="AK24" s="9">
        <f t="shared" si="2"/>
        <v>18790.0173</v>
      </c>
      <c r="AL24" s="9">
        <f t="shared" si="3"/>
        <v>6263.3391000000001</v>
      </c>
      <c r="AM24" s="9">
        <f>+AK24+AJ24+AI24+AH24+AG24+AF24+AE24+AL24</f>
        <v>119838.56370000001</v>
      </c>
      <c r="AN24" s="42">
        <f t="shared" si="1"/>
        <v>88939.406299999988</v>
      </c>
    </row>
    <row r="25" spans="2:40" x14ac:dyDescent="0.3">
      <c r="B25" s="10" t="s">
        <v>126</v>
      </c>
      <c r="C25" s="10" t="s">
        <v>127</v>
      </c>
      <c r="D25" s="30" t="s">
        <v>62</v>
      </c>
      <c r="E25" s="10" t="s">
        <v>128</v>
      </c>
      <c r="F25" s="10" t="s">
        <v>129</v>
      </c>
      <c r="G25" s="10" t="s">
        <v>130</v>
      </c>
      <c r="H25" s="10"/>
      <c r="I25" s="11"/>
      <c r="J25" s="50" t="s">
        <v>131</v>
      </c>
      <c r="K25" s="28">
        <v>42887</v>
      </c>
      <c r="L25" s="42">
        <v>49690</v>
      </c>
      <c r="M25" s="9">
        <f>+L25*0.1</f>
        <v>4969</v>
      </c>
      <c r="N25" s="9">
        <f>+L25-M25</f>
        <v>44721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41">
        <v>2596.3000000000002</v>
      </c>
      <c r="AG25" s="41">
        <v>4472.1000000000004</v>
      </c>
      <c r="AH25" s="41">
        <v>4472.1000000000004</v>
      </c>
      <c r="AI25" s="41">
        <v>4472.1000000000004</v>
      </c>
      <c r="AJ25" s="9">
        <v>4472.1000000000004</v>
      </c>
      <c r="AK25" s="9">
        <f t="shared" si="2"/>
        <v>4472.1000000000004</v>
      </c>
      <c r="AL25" s="9">
        <f t="shared" si="3"/>
        <v>1490.7</v>
      </c>
      <c r="AM25" s="9">
        <f>+AK25+AJ25+AI25+AH25+AG25+AF25+AL25</f>
        <v>26447.5</v>
      </c>
      <c r="AN25" s="42">
        <f t="shared" si="1"/>
        <v>23242.5</v>
      </c>
    </row>
    <row r="26" spans="2:40" x14ac:dyDescent="0.3">
      <c r="B26" s="10" t="s">
        <v>132</v>
      </c>
      <c r="C26" s="10" t="s">
        <v>133</v>
      </c>
      <c r="D26" s="10" t="s">
        <v>118</v>
      </c>
      <c r="E26" s="10" t="s">
        <v>134</v>
      </c>
      <c r="F26" s="10" t="s">
        <v>135</v>
      </c>
      <c r="G26" s="10" t="s">
        <v>47</v>
      </c>
      <c r="H26" s="10"/>
      <c r="I26" s="10"/>
      <c r="J26" s="50" t="s">
        <v>131</v>
      </c>
      <c r="K26" s="28">
        <v>43040</v>
      </c>
      <c r="L26" s="42">
        <v>497153.68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5"/>
      <c r="AB26" s="5"/>
      <c r="AC26" s="5"/>
      <c r="AD26" s="5"/>
      <c r="AE26" s="41"/>
      <c r="AF26" s="41">
        <v>7333.02</v>
      </c>
      <c r="AG26" s="41">
        <v>44743.83</v>
      </c>
      <c r="AH26" s="41">
        <v>44743.83</v>
      </c>
      <c r="AI26" s="41">
        <v>44743.83</v>
      </c>
      <c r="AJ26" s="9">
        <v>44743.83</v>
      </c>
      <c r="AK26" s="9">
        <f t="shared" si="2"/>
        <v>44743.83</v>
      </c>
      <c r="AL26" s="9">
        <f t="shared" si="3"/>
        <v>14914.61</v>
      </c>
      <c r="AM26" s="9">
        <f>+AK26+AJ26+AI26+AH26+AG26+AF26+AL26</f>
        <v>245966.78000000003</v>
      </c>
      <c r="AN26" s="42">
        <f t="shared" si="1"/>
        <v>251186.89999999997</v>
      </c>
    </row>
    <row r="27" spans="2:40" x14ac:dyDescent="0.3">
      <c r="B27" s="10" t="s">
        <v>136</v>
      </c>
      <c r="C27" s="10" t="s">
        <v>137</v>
      </c>
      <c r="D27" s="10" t="s">
        <v>118</v>
      </c>
      <c r="E27" s="10" t="s">
        <v>138</v>
      </c>
      <c r="F27" s="10" t="s">
        <v>139</v>
      </c>
      <c r="G27" s="10" t="s">
        <v>140</v>
      </c>
      <c r="H27" s="10"/>
      <c r="I27" s="10"/>
      <c r="J27" s="50" t="s">
        <v>131</v>
      </c>
      <c r="K27" s="28">
        <v>43087</v>
      </c>
      <c r="L27" s="42">
        <v>101290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5"/>
      <c r="AB27" s="5"/>
      <c r="AC27" s="5"/>
      <c r="AD27" s="5"/>
      <c r="AE27" s="41"/>
      <c r="AF27" s="41">
        <v>303.87</v>
      </c>
      <c r="AG27" s="41">
        <v>9116.1</v>
      </c>
      <c r="AH27" s="41">
        <v>9116.1</v>
      </c>
      <c r="AI27" s="41">
        <v>9116.1</v>
      </c>
      <c r="AJ27" s="9">
        <v>9116.1</v>
      </c>
      <c r="AK27" s="9">
        <f t="shared" si="2"/>
        <v>9116.1</v>
      </c>
      <c r="AL27" s="9">
        <f t="shared" si="3"/>
        <v>3038.7000000000003</v>
      </c>
      <c r="AM27" s="9">
        <f>+AK27+AJ27+AI27+AH27+AG27+AF27+AL27</f>
        <v>48923.07</v>
      </c>
      <c r="AN27" s="42">
        <f t="shared" si="1"/>
        <v>52366.93</v>
      </c>
    </row>
    <row r="28" spans="2:40" x14ac:dyDescent="0.3">
      <c r="B28" s="10" t="s">
        <v>141</v>
      </c>
      <c r="C28" s="10" t="s">
        <v>137</v>
      </c>
      <c r="D28" s="10" t="s">
        <v>118</v>
      </c>
      <c r="E28" s="10" t="s">
        <v>138</v>
      </c>
      <c r="F28" s="10" t="s">
        <v>139</v>
      </c>
      <c r="G28" s="10" t="s">
        <v>142</v>
      </c>
      <c r="H28" s="10"/>
      <c r="I28" s="10"/>
      <c r="J28" s="50" t="s">
        <v>131</v>
      </c>
      <c r="K28" s="28">
        <v>43087</v>
      </c>
      <c r="L28" s="42">
        <v>101290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5"/>
      <c r="AB28" s="5"/>
      <c r="AC28" s="5"/>
      <c r="AD28" s="5"/>
      <c r="AE28" s="41"/>
      <c r="AF28" s="41">
        <v>303.87</v>
      </c>
      <c r="AG28" s="41">
        <v>9116.1</v>
      </c>
      <c r="AH28" s="41">
        <v>9116.1</v>
      </c>
      <c r="AI28" s="41">
        <v>9116.1</v>
      </c>
      <c r="AJ28" s="9">
        <v>9116.1</v>
      </c>
      <c r="AK28" s="9">
        <f t="shared" si="2"/>
        <v>9116.1</v>
      </c>
      <c r="AL28" s="9">
        <f t="shared" si="3"/>
        <v>3038.7000000000003</v>
      </c>
      <c r="AM28" s="9">
        <f>+AK28+AJ28+AI28+AH28+AG28+AF28+AL28</f>
        <v>48923.07</v>
      </c>
      <c r="AN28" s="42">
        <f t="shared" si="1"/>
        <v>52366.93</v>
      </c>
    </row>
    <row r="29" spans="2:40" x14ac:dyDescent="0.3">
      <c r="B29" s="12" t="s">
        <v>143</v>
      </c>
      <c r="C29" s="31" t="s">
        <v>144</v>
      </c>
      <c r="D29" s="16" t="s">
        <v>62</v>
      </c>
      <c r="E29" s="12" t="s">
        <v>145</v>
      </c>
      <c r="F29" s="12" t="s">
        <v>146</v>
      </c>
      <c r="G29" s="10"/>
      <c r="H29" s="12" t="s">
        <v>147</v>
      </c>
      <c r="I29" s="12" t="s">
        <v>58</v>
      </c>
      <c r="J29" s="12" t="s">
        <v>131</v>
      </c>
      <c r="K29" s="29">
        <v>43132</v>
      </c>
      <c r="L29" s="32">
        <v>101792.52</v>
      </c>
      <c r="M29" s="9">
        <f t="shared" ref="M29:M34" si="10">+L29*0.1</f>
        <v>10179.252</v>
      </c>
      <c r="N29" s="9">
        <f t="shared" ref="N29:N34" si="11">+L29-M29</f>
        <v>91613.268000000011</v>
      </c>
      <c r="O29" s="9">
        <f t="shared" ref="O29:O34" si="12">+N29/10</f>
        <v>9161.3268000000007</v>
      </c>
      <c r="P29" s="9">
        <f>+O29/360*240</f>
        <v>6107.5512000000008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>
        <v>6107.55</v>
      </c>
      <c r="AH29" s="9">
        <v>6107.55</v>
      </c>
      <c r="AI29" s="9">
        <v>6107.55</v>
      </c>
      <c r="AJ29" s="9">
        <v>6107.55</v>
      </c>
      <c r="AK29" s="9">
        <f t="shared" si="2"/>
        <v>6107.55</v>
      </c>
      <c r="AL29" s="9">
        <f t="shared" si="3"/>
        <v>2035.8500000000001</v>
      </c>
      <c r="AM29" s="9">
        <f t="shared" ref="AM29:AM34" si="13">+AK29+AJ29+AI29+AH29+AG29+AL29</f>
        <v>32573.599999999999</v>
      </c>
      <c r="AN29" s="9">
        <f t="shared" si="1"/>
        <v>69218.920000000013</v>
      </c>
    </row>
    <row r="30" spans="2:40" x14ac:dyDescent="0.3">
      <c r="B30" s="12" t="s">
        <v>148</v>
      </c>
      <c r="C30" s="31" t="s">
        <v>144</v>
      </c>
      <c r="D30" s="16" t="s">
        <v>62</v>
      </c>
      <c r="E30" s="12" t="s">
        <v>145</v>
      </c>
      <c r="F30" s="12" t="s">
        <v>146</v>
      </c>
      <c r="G30" s="10"/>
      <c r="H30" s="12" t="s">
        <v>147</v>
      </c>
      <c r="I30" s="12" t="s">
        <v>58</v>
      </c>
      <c r="J30" s="12" t="s">
        <v>131</v>
      </c>
      <c r="K30" s="29">
        <v>43132</v>
      </c>
      <c r="L30" s="32">
        <v>101792.52</v>
      </c>
      <c r="M30" s="9">
        <f t="shared" si="10"/>
        <v>10179.252</v>
      </c>
      <c r="N30" s="9">
        <f t="shared" si="11"/>
        <v>91613.268000000011</v>
      </c>
      <c r="O30" s="9">
        <f t="shared" si="12"/>
        <v>9161.3268000000007</v>
      </c>
      <c r="P30" s="9">
        <f>+O30/360*240</f>
        <v>6107.5512000000008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>
        <v>6107.55</v>
      </c>
      <c r="AH30" s="9">
        <v>6107.55</v>
      </c>
      <c r="AI30" s="9">
        <v>6107.55</v>
      </c>
      <c r="AJ30" s="9">
        <v>6107.55</v>
      </c>
      <c r="AK30" s="9">
        <f t="shared" si="2"/>
        <v>6107.55</v>
      </c>
      <c r="AL30" s="9">
        <f t="shared" si="3"/>
        <v>2035.8500000000001</v>
      </c>
      <c r="AM30" s="9">
        <f t="shared" si="13"/>
        <v>32573.599999999999</v>
      </c>
      <c r="AN30" s="9">
        <f t="shared" si="1"/>
        <v>69218.920000000013</v>
      </c>
    </row>
    <row r="31" spans="2:40" x14ac:dyDescent="0.3">
      <c r="B31" s="12" t="s">
        <v>149</v>
      </c>
      <c r="C31" s="12" t="s">
        <v>150</v>
      </c>
      <c r="D31" s="12"/>
      <c r="E31" s="12" t="s">
        <v>151</v>
      </c>
      <c r="F31" s="12" t="s">
        <v>152</v>
      </c>
      <c r="G31" s="10"/>
      <c r="H31" s="12" t="s">
        <v>85</v>
      </c>
      <c r="I31" s="12" t="s">
        <v>58</v>
      </c>
      <c r="J31" s="12" t="s">
        <v>153</v>
      </c>
      <c r="K31" s="29">
        <v>43160</v>
      </c>
      <c r="L31" s="32">
        <v>87575.67</v>
      </c>
      <c r="M31" s="9">
        <f t="shared" si="10"/>
        <v>8757.5670000000009</v>
      </c>
      <c r="N31" s="9">
        <f t="shared" si="11"/>
        <v>78818.103000000003</v>
      </c>
      <c r="O31" s="9">
        <f t="shared" si="12"/>
        <v>7881.8103000000001</v>
      </c>
      <c r="P31" s="9">
        <f>+O31/360*240</f>
        <v>5254.5402000000004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>
        <v>5254.54</v>
      </c>
      <c r="AH31" s="9">
        <v>5254.54</v>
      </c>
      <c r="AI31" s="9">
        <v>5254.54</v>
      </c>
      <c r="AJ31" s="9">
        <v>5254.54</v>
      </c>
      <c r="AK31" s="9">
        <f t="shared" si="2"/>
        <v>5254.54</v>
      </c>
      <c r="AL31" s="9">
        <f t="shared" si="3"/>
        <v>1751.5133333333333</v>
      </c>
      <c r="AM31" s="9">
        <f t="shared" si="13"/>
        <v>28024.213333333333</v>
      </c>
      <c r="AN31" s="9">
        <f t="shared" si="1"/>
        <v>59551.456666666665</v>
      </c>
    </row>
    <row r="32" spans="2:40" x14ac:dyDescent="0.3">
      <c r="B32" s="10" t="s">
        <v>154</v>
      </c>
      <c r="C32" s="10" t="s">
        <v>40</v>
      </c>
      <c r="D32" s="12"/>
      <c r="E32" s="10"/>
      <c r="F32" s="10"/>
      <c r="G32" s="10"/>
      <c r="H32" s="10" t="s">
        <v>85</v>
      </c>
      <c r="I32" s="10" t="s">
        <v>58</v>
      </c>
      <c r="J32" s="16"/>
      <c r="K32" s="28">
        <v>43262</v>
      </c>
      <c r="L32" s="42">
        <v>81034</v>
      </c>
      <c r="M32" s="9">
        <f t="shared" si="10"/>
        <v>8103.4000000000005</v>
      </c>
      <c r="N32" s="9">
        <f t="shared" si="11"/>
        <v>72930.600000000006</v>
      </c>
      <c r="O32" s="9">
        <f t="shared" si="12"/>
        <v>7293.06</v>
      </c>
      <c r="P32" s="9">
        <f>+O32/360*110</f>
        <v>2228.4349999999999</v>
      </c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>
        <v>2228.44</v>
      </c>
      <c r="AH32" s="9">
        <v>7293.06</v>
      </c>
      <c r="AI32" s="9">
        <v>7293.06</v>
      </c>
      <c r="AJ32" s="9">
        <f>+O32/12*12</f>
        <v>7293.0599999999995</v>
      </c>
      <c r="AK32" s="9">
        <f t="shared" si="2"/>
        <v>7293.0599999999995</v>
      </c>
      <c r="AL32" s="9">
        <f t="shared" si="3"/>
        <v>2431.02</v>
      </c>
      <c r="AM32" s="9">
        <f t="shared" si="13"/>
        <v>33831.699999999997</v>
      </c>
      <c r="AN32" s="42">
        <f t="shared" si="1"/>
        <v>47202.3</v>
      </c>
    </row>
    <row r="33" spans="2:40" x14ac:dyDescent="0.3">
      <c r="B33" s="10" t="s">
        <v>155</v>
      </c>
      <c r="C33" s="10" t="s">
        <v>156</v>
      </c>
      <c r="D33" s="12"/>
      <c r="E33" s="10"/>
      <c r="F33" s="10"/>
      <c r="G33" s="10"/>
      <c r="H33" s="10" t="s">
        <v>85</v>
      </c>
      <c r="I33" s="10" t="s">
        <v>58</v>
      </c>
      <c r="J33" s="16"/>
      <c r="K33" s="28">
        <v>43262</v>
      </c>
      <c r="L33" s="54">
        <v>2451546.67</v>
      </c>
      <c r="M33" s="9">
        <f t="shared" si="10"/>
        <v>245154.66700000002</v>
      </c>
      <c r="N33" s="9">
        <f t="shared" si="11"/>
        <v>2206392.003</v>
      </c>
      <c r="O33" s="9">
        <f t="shared" si="12"/>
        <v>220639.2003</v>
      </c>
      <c r="P33" s="9">
        <f>+O33/360*110</f>
        <v>67417.533425000001</v>
      </c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>
        <v>67417.53</v>
      </c>
      <c r="AH33" s="9">
        <v>220639.2</v>
      </c>
      <c r="AI33" s="9">
        <v>220639.2</v>
      </c>
      <c r="AJ33" s="9">
        <f>+O33/12*12</f>
        <v>220639.2003</v>
      </c>
      <c r="AK33" s="9">
        <f t="shared" si="2"/>
        <v>220639.2003</v>
      </c>
      <c r="AL33" s="9">
        <f t="shared" si="3"/>
        <v>73546.400099999999</v>
      </c>
      <c r="AM33" s="9">
        <f t="shared" si="13"/>
        <v>1023520.7307</v>
      </c>
      <c r="AN33" s="42">
        <f t="shared" si="1"/>
        <v>1428025.9393</v>
      </c>
    </row>
    <row r="34" spans="2:40" x14ac:dyDescent="0.3">
      <c r="B34" s="10" t="s">
        <v>157</v>
      </c>
      <c r="C34" s="10" t="s">
        <v>156</v>
      </c>
      <c r="D34" s="12"/>
      <c r="E34" s="10"/>
      <c r="F34" s="10"/>
      <c r="G34" s="10"/>
      <c r="H34" s="10" t="s">
        <v>85</v>
      </c>
      <c r="I34" s="10" t="s">
        <v>58</v>
      </c>
      <c r="J34" s="16"/>
      <c r="K34" s="28">
        <v>43262</v>
      </c>
      <c r="L34" s="54">
        <v>2451546.67</v>
      </c>
      <c r="M34" s="9">
        <f t="shared" si="10"/>
        <v>245154.66700000002</v>
      </c>
      <c r="N34" s="9">
        <f t="shared" si="11"/>
        <v>2206392.003</v>
      </c>
      <c r="O34" s="9">
        <f t="shared" si="12"/>
        <v>220639.2003</v>
      </c>
      <c r="P34" s="9">
        <f>+O34/360*110</f>
        <v>67417.533425000001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>
        <v>67417.53</v>
      </c>
      <c r="AH34" s="9">
        <v>220639.2</v>
      </c>
      <c r="AI34" s="9">
        <v>220639.2</v>
      </c>
      <c r="AJ34" s="9">
        <f>+O34/12*12</f>
        <v>220639.2003</v>
      </c>
      <c r="AK34" s="9">
        <f t="shared" si="2"/>
        <v>220639.2003</v>
      </c>
      <c r="AL34" s="9">
        <f t="shared" si="3"/>
        <v>73546.400099999999</v>
      </c>
      <c r="AM34" s="9">
        <f t="shared" si="13"/>
        <v>1023520.7307</v>
      </c>
      <c r="AN34" s="42">
        <f t="shared" si="1"/>
        <v>1428025.9393</v>
      </c>
    </row>
    <row r="35" spans="2:40" x14ac:dyDescent="0.3">
      <c r="B35" s="18"/>
      <c r="C35" s="18"/>
      <c r="D35" s="18"/>
      <c r="E35" s="18"/>
      <c r="F35" s="18"/>
      <c r="G35" s="18"/>
      <c r="H35" s="18"/>
      <c r="I35" s="18"/>
      <c r="J35" s="18"/>
      <c r="K35" s="19"/>
      <c r="L35" s="20"/>
      <c r="M35" s="21"/>
      <c r="N35" s="21"/>
      <c r="O35" s="21"/>
      <c r="P35" s="22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2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2:40" x14ac:dyDescent="0.3">
      <c r="B36" s="18"/>
      <c r="C36" s="18"/>
      <c r="D36" s="18"/>
      <c r="E36" s="18"/>
      <c r="F36" s="18"/>
      <c r="G36" s="18"/>
      <c r="H36" s="18"/>
      <c r="I36" s="18"/>
      <c r="J36" s="18"/>
      <c r="K36" s="19"/>
      <c r="L36" s="20"/>
      <c r="M36" s="21"/>
      <c r="N36" s="21"/>
      <c r="O36" s="21"/>
      <c r="P36" s="22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2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2:40" x14ac:dyDescent="0.3">
      <c r="B37" s="18"/>
      <c r="C37" s="18"/>
      <c r="D37" s="18"/>
      <c r="E37" s="18"/>
      <c r="F37" s="18"/>
      <c r="G37" s="18"/>
      <c r="H37" s="18"/>
      <c r="I37" s="18"/>
      <c r="J37" s="18"/>
      <c r="K37" s="19"/>
      <c r="L37" s="20"/>
      <c r="M37" s="21"/>
      <c r="N37" s="21"/>
      <c r="O37" s="21"/>
      <c r="P37" s="22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2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2:40" x14ac:dyDescent="0.3">
      <c r="B38" s="18"/>
      <c r="C38" s="18"/>
      <c r="D38" s="18"/>
      <c r="E38" s="18"/>
      <c r="F38" s="18"/>
      <c r="G38" s="18"/>
      <c r="H38" s="18"/>
      <c r="I38" s="18"/>
      <c r="J38" s="18"/>
      <c r="K38" s="19"/>
      <c r="L38" s="20"/>
      <c r="M38" s="21"/>
      <c r="N38" s="21"/>
      <c r="O38" s="21"/>
      <c r="P38" s="22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2:40" x14ac:dyDescent="0.3">
      <c r="B39" s="18"/>
      <c r="C39" s="18"/>
      <c r="D39" s="18"/>
      <c r="E39" s="18"/>
      <c r="F39" s="18"/>
      <c r="G39" s="18"/>
      <c r="H39" s="18"/>
      <c r="I39" s="18"/>
      <c r="J39" s="18"/>
      <c r="K39" s="19"/>
      <c r="L39" s="20"/>
      <c r="M39" s="21"/>
      <c r="N39" s="21"/>
      <c r="O39" s="21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2:40" x14ac:dyDescent="0.3">
      <c r="B40" s="23" t="s">
        <v>0</v>
      </c>
      <c r="C40" s="23" t="s">
        <v>1</v>
      </c>
      <c r="D40" s="23" t="s">
        <v>2</v>
      </c>
      <c r="E40" s="23" t="s">
        <v>3</v>
      </c>
      <c r="F40" s="23" t="s">
        <v>4</v>
      </c>
      <c r="G40" s="23" t="s">
        <v>5</v>
      </c>
      <c r="H40" s="23" t="s">
        <v>6</v>
      </c>
      <c r="I40" s="23" t="s">
        <v>7</v>
      </c>
      <c r="J40" s="23" t="s">
        <v>8</v>
      </c>
      <c r="K40" s="23" t="s">
        <v>9</v>
      </c>
      <c r="L40" s="23" t="s">
        <v>10</v>
      </c>
      <c r="M40" s="23" t="s">
        <v>11</v>
      </c>
      <c r="N40" s="23" t="s">
        <v>12</v>
      </c>
      <c r="O40" s="23" t="s">
        <v>13</v>
      </c>
      <c r="P40" s="23" t="s">
        <v>14</v>
      </c>
      <c r="Q40" s="23" t="s">
        <v>15</v>
      </c>
      <c r="R40" s="23" t="s">
        <v>16</v>
      </c>
      <c r="S40" s="23" t="s">
        <v>17</v>
      </c>
      <c r="T40" s="23" t="s">
        <v>18</v>
      </c>
      <c r="U40" s="23" t="s">
        <v>19</v>
      </c>
      <c r="V40" s="23" t="s">
        <v>20</v>
      </c>
      <c r="W40" s="23" t="s">
        <v>21</v>
      </c>
      <c r="X40" s="23" t="s">
        <v>22</v>
      </c>
      <c r="Y40" s="23" t="s">
        <v>23</v>
      </c>
      <c r="Z40" s="23" t="s">
        <v>24</v>
      </c>
      <c r="AA40" s="23" t="s">
        <v>25</v>
      </c>
      <c r="AB40" s="23" t="s">
        <v>26</v>
      </c>
      <c r="AC40" s="23" t="s">
        <v>27</v>
      </c>
      <c r="AD40" s="23" t="s">
        <v>28</v>
      </c>
      <c r="AE40" s="23" t="s">
        <v>29</v>
      </c>
      <c r="AF40" s="23" t="s">
        <v>30</v>
      </c>
      <c r="AG40" s="23" t="s">
        <v>31</v>
      </c>
      <c r="AH40" s="23" t="s">
        <v>32</v>
      </c>
      <c r="AI40" s="23" t="s">
        <v>33</v>
      </c>
      <c r="AJ40" s="23" t="s">
        <v>34</v>
      </c>
      <c r="AK40" s="1" t="s">
        <v>35</v>
      </c>
      <c r="AL40" s="1" t="s">
        <v>36</v>
      </c>
      <c r="AM40" s="23" t="s">
        <v>37</v>
      </c>
      <c r="AN40" s="23" t="s">
        <v>38</v>
      </c>
    </row>
    <row r="41" spans="2:40" x14ac:dyDescent="0.3">
      <c r="B41" s="10" t="s">
        <v>158</v>
      </c>
      <c r="C41" s="10" t="s">
        <v>159</v>
      </c>
      <c r="D41" s="12"/>
      <c r="E41" s="10"/>
      <c r="F41" s="10"/>
      <c r="G41" s="10"/>
      <c r="H41" s="10" t="s">
        <v>85</v>
      </c>
      <c r="I41" s="10" t="s">
        <v>58</v>
      </c>
      <c r="J41" s="16"/>
      <c r="K41" s="28">
        <v>43262</v>
      </c>
      <c r="L41" s="42">
        <v>507782.45</v>
      </c>
      <c r="M41" s="9">
        <f t="shared" ref="M41:M59" si="14">+L41*0.1</f>
        <v>50778.245000000003</v>
      </c>
      <c r="N41" s="9">
        <f t="shared" ref="N41:N59" si="15">+L41-M41</f>
        <v>457004.20500000002</v>
      </c>
      <c r="O41" s="9">
        <f t="shared" ref="O41:O59" si="16">+N41/10</f>
        <v>45700.4205</v>
      </c>
      <c r="P41" s="9">
        <f>+O41/360*110</f>
        <v>13964.017374999999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>
        <v>13964.02</v>
      </c>
      <c r="AH41" s="9">
        <v>45700.42</v>
      </c>
      <c r="AI41" s="9">
        <v>45700.42</v>
      </c>
      <c r="AJ41" s="9">
        <f t="shared" ref="AJ41:AJ59" si="17">+O41/12*12</f>
        <v>45700.4205</v>
      </c>
      <c r="AK41" s="9">
        <f t="shared" ref="AK41:AK62" si="18">+AJ41/12*12</f>
        <v>45700.4205</v>
      </c>
      <c r="AL41" s="9">
        <f t="shared" ref="AL41:AL62" si="19">+AK41/12*4</f>
        <v>15233.4735</v>
      </c>
      <c r="AM41" s="9">
        <f>+AK41+AJ41+AI41+AH41+AG41+AL41</f>
        <v>211999.17449999996</v>
      </c>
      <c r="AN41" s="42">
        <f t="shared" ref="AN41:AN59" si="20">+L41-AM41</f>
        <v>295783.27550000005</v>
      </c>
    </row>
    <row r="42" spans="2:40" x14ac:dyDescent="0.3">
      <c r="B42" s="10" t="s">
        <v>160</v>
      </c>
      <c r="C42" s="10" t="s">
        <v>161</v>
      </c>
      <c r="D42" s="12"/>
      <c r="E42" s="10"/>
      <c r="F42" s="10"/>
      <c r="G42" s="10"/>
      <c r="H42" s="10" t="s">
        <v>85</v>
      </c>
      <c r="I42" s="10" t="s">
        <v>58</v>
      </c>
      <c r="J42" s="16"/>
      <c r="K42" s="28">
        <v>43262</v>
      </c>
      <c r="L42" s="42">
        <v>126840.68</v>
      </c>
      <c r="M42" s="9">
        <f t="shared" si="14"/>
        <v>12684.067999999999</v>
      </c>
      <c r="N42" s="9">
        <f t="shared" si="15"/>
        <v>114156.61199999999</v>
      </c>
      <c r="O42" s="9">
        <f t="shared" si="16"/>
        <v>11415.661199999999</v>
      </c>
      <c r="P42" s="9">
        <f>+O42/360*110</f>
        <v>3488.1187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>
        <v>3488.12</v>
      </c>
      <c r="AH42" s="9">
        <v>11415.66</v>
      </c>
      <c r="AI42" s="9">
        <v>11415.66</v>
      </c>
      <c r="AJ42" s="9">
        <f t="shared" si="17"/>
        <v>11415.661199999999</v>
      </c>
      <c r="AK42" s="9">
        <f t="shared" si="18"/>
        <v>11415.661199999999</v>
      </c>
      <c r="AL42" s="9">
        <f t="shared" si="19"/>
        <v>3805.2203999999997</v>
      </c>
      <c r="AM42" s="9">
        <f>+AK42+AJ42+AI42+AH42+AG42+AL42</f>
        <v>52955.982799999998</v>
      </c>
      <c r="AN42" s="42">
        <f t="shared" si="20"/>
        <v>73884.697199999995</v>
      </c>
    </row>
    <row r="43" spans="2:40" x14ac:dyDescent="0.3">
      <c r="B43" s="10" t="s">
        <v>162</v>
      </c>
      <c r="C43" s="10" t="s">
        <v>163</v>
      </c>
      <c r="D43" s="12"/>
      <c r="E43" s="10"/>
      <c r="F43" s="10"/>
      <c r="G43" s="10"/>
      <c r="H43" s="10" t="s">
        <v>85</v>
      </c>
      <c r="I43" s="10" t="s">
        <v>58</v>
      </c>
      <c r="J43" s="16"/>
      <c r="K43" s="28">
        <v>43262</v>
      </c>
      <c r="L43" s="42">
        <v>967893.95</v>
      </c>
      <c r="M43" s="9">
        <f t="shared" si="14"/>
        <v>96789.395000000004</v>
      </c>
      <c r="N43" s="9">
        <f t="shared" si="15"/>
        <v>871104.55499999993</v>
      </c>
      <c r="O43" s="9">
        <f t="shared" si="16"/>
        <v>87110.455499999996</v>
      </c>
      <c r="P43" s="9">
        <f>+O43/360*110</f>
        <v>26617.083624999996</v>
      </c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>
        <v>26617.08</v>
      </c>
      <c r="AH43" s="9">
        <v>87110.46</v>
      </c>
      <c r="AI43" s="9">
        <v>87110.46</v>
      </c>
      <c r="AJ43" s="9">
        <f t="shared" si="17"/>
        <v>87110.455499999996</v>
      </c>
      <c r="AK43" s="9">
        <f t="shared" si="18"/>
        <v>87110.455499999996</v>
      </c>
      <c r="AL43" s="9">
        <f t="shared" si="19"/>
        <v>29036.818499999998</v>
      </c>
      <c r="AM43" s="9">
        <f>+AK43+AJ43+AI43+AH43+AG43+AL43</f>
        <v>404095.72950000002</v>
      </c>
      <c r="AN43" s="42">
        <f t="shared" si="20"/>
        <v>563798.22049999994</v>
      </c>
    </row>
    <row r="44" spans="2:40" ht="18" x14ac:dyDescent="0.35">
      <c r="B44" s="10" t="s">
        <v>164</v>
      </c>
      <c r="C44" s="10" t="s">
        <v>165</v>
      </c>
      <c r="D44" s="10" t="s">
        <v>166</v>
      </c>
      <c r="E44" s="10" t="s">
        <v>167</v>
      </c>
      <c r="F44" s="10" t="s">
        <v>168</v>
      </c>
      <c r="G44" s="10" t="s">
        <v>169</v>
      </c>
      <c r="H44" s="10" t="s">
        <v>85</v>
      </c>
      <c r="I44" s="10" t="s">
        <v>58</v>
      </c>
      <c r="J44" s="10" t="s">
        <v>170</v>
      </c>
      <c r="K44" s="28">
        <v>43613</v>
      </c>
      <c r="L44" s="42">
        <v>130000</v>
      </c>
      <c r="M44" s="9">
        <f t="shared" si="14"/>
        <v>13000</v>
      </c>
      <c r="N44" s="9">
        <f t="shared" si="15"/>
        <v>117000</v>
      </c>
      <c r="O44" s="9">
        <f t="shared" si="16"/>
        <v>11700</v>
      </c>
      <c r="P44" s="24"/>
      <c r="Q44" s="24"/>
      <c r="R44" s="25"/>
      <c r="S44" s="3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34">
        <v>6890</v>
      </c>
      <c r="AI44" s="9">
        <v>11700</v>
      </c>
      <c r="AJ44" s="9">
        <f t="shared" si="17"/>
        <v>11700</v>
      </c>
      <c r="AK44" s="9">
        <f t="shared" si="18"/>
        <v>11700</v>
      </c>
      <c r="AL44" s="9">
        <f t="shared" si="19"/>
        <v>3900</v>
      </c>
      <c r="AM44" s="9">
        <f t="shared" ref="AM44:AM50" si="21">+AK44+AJ44+AI44+AH44+AL44</f>
        <v>45890</v>
      </c>
      <c r="AN44" s="42">
        <f t="shared" si="20"/>
        <v>84110</v>
      </c>
    </row>
    <row r="45" spans="2:40" ht="18" x14ac:dyDescent="0.35">
      <c r="B45" s="10" t="s">
        <v>171</v>
      </c>
      <c r="C45" s="10" t="s">
        <v>172</v>
      </c>
      <c r="D45" s="10" t="s">
        <v>173</v>
      </c>
      <c r="E45" s="10" t="s">
        <v>174</v>
      </c>
      <c r="F45" s="10" t="s">
        <v>175</v>
      </c>
      <c r="G45" s="10" t="s">
        <v>176</v>
      </c>
      <c r="H45" s="10" t="s">
        <v>85</v>
      </c>
      <c r="I45" s="10" t="s">
        <v>58</v>
      </c>
      <c r="J45" s="50" t="s">
        <v>177</v>
      </c>
      <c r="K45" s="28">
        <v>43621</v>
      </c>
      <c r="L45" s="42">
        <v>36075.25</v>
      </c>
      <c r="M45" s="9">
        <f t="shared" si="14"/>
        <v>3607.5250000000001</v>
      </c>
      <c r="N45" s="9">
        <f t="shared" si="15"/>
        <v>32467.724999999999</v>
      </c>
      <c r="O45" s="9">
        <f t="shared" si="16"/>
        <v>3246.7725</v>
      </c>
      <c r="P45" s="24"/>
      <c r="Q45" s="24"/>
      <c r="R45" s="24"/>
      <c r="S45" s="33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7">
        <v>2146.48</v>
      </c>
      <c r="AI45" s="9">
        <v>3246.77</v>
      </c>
      <c r="AJ45" s="9">
        <f t="shared" si="17"/>
        <v>3246.7725</v>
      </c>
      <c r="AK45" s="9">
        <f t="shared" si="18"/>
        <v>3246.7725</v>
      </c>
      <c r="AL45" s="9">
        <f t="shared" si="19"/>
        <v>1082.2574999999999</v>
      </c>
      <c r="AM45" s="9">
        <f t="shared" si="21"/>
        <v>12969.0525</v>
      </c>
      <c r="AN45" s="42">
        <f t="shared" si="20"/>
        <v>23106.197500000002</v>
      </c>
    </row>
    <row r="46" spans="2:40" ht="18" x14ac:dyDescent="0.35">
      <c r="B46" s="10" t="s">
        <v>178</v>
      </c>
      <c r="C46" s="10" t="s">
        <v>172</v>
      </c>
      <c r="D46" s="10" t="s">
        <v>173</v>
      </c>
      <c r="E46" s="10" t="s">
        <v>174</v>
      </c>
      <c r="F46" s="10" t="s">
        <v>175</v>
      </c>
      <c r="G46" s="10" t="s">
        <v>179</v>
      </c>
      <c r="H46" s="10" t="s">
        <v>85</v>
      </c>
      <c r="I46" s="10" t="s">
        <v>58</v>
      </c>
      <c r="J46" s="50" t="s">
        <v>177</v>
      </c>
      <c r="K46" s="28">
        <v>43621</v>
      </c>
      <c r="L46" s="42">
        <v>36075.25</v>
      </c>
      <c r="M46" s="9">
        <f t="shared" si="14"/>
        <v>3607.5250000000001</v>
      </c>
      <c r="N46" s="9">
        <f t="shared" si="15"/>
        <v>32467.724999999999</v>
      </c>
      <c r="O46" s="9">
        <f t="shared" si="16"/>
        <v>3246.7725</v>
      </c>
      <c r="P46" s="24"/>
      <c r="Q46" s="24"/>
      <c r="R46" s="24"/>
      <c r="S46" s="3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34">
        <v>2146.48</v>
      </c>
      <c r="AI46" s="9">
        <v>3246.77</v>
      </c>
      <c r="AJ46" s="9">
        <f t="shared" si="17"/>
        <v>3246.7725</v>
      </c>
      <c r="AK46" s="9">
        <f t="shared" si="18"/>
        <v>3246.7725</v>
      </c>
      <c r="AL46" s="9">
        <f t="shared" si="19"/>
        <v>1082.2574999999999</v>
      </c>
      <c r="AM46" s="9">
        <f t="shared" si="21"/>
        <v>12969.0525</v>
      </c>
      <c r="AN46" s="42">
        <f t="shared" si="20"/>
        <v>23106.197500000002</v>
      </c>
    </row>
    <row r="47" spans="2:40" ht="18" x14ac:dyDescent="0.35">
      <c r="B47" s="10" t="s">
        <v>180</v>
      </c>
      <c r="C47" s="10" t="s">
        <v>181</v>
      </c>
      <c r="D47" s="10" t="s">
        <v>166</v>
      </c>
      <c r="E47" s="10" t="s">
        <v>182</v>
      </c>
      <c r="F47" s="10" t="s">
        <v>183</v>
      </c>
      <c r="G47" s="10" t="s">
        <v>184</v>
      </c>
      <c r="H47" s="10" t="s">
        <v>115</v>
      </c>
      <c r="I47" s="10" t="s">
        <v>58</v>
      </c>
      <c r="J47" s="10" t="s">
        <v>170</v>
      </c>
      <c r="K47" s="28">
        <v>43769</v>
      </c>
      <c r="L47" s="42">
        <v>69000</v>
      </c>
      <c r="M47" s="9">
        <f t="shared" si="14"/>
        <v>6900</v>
      </c>
      <c r="N47" s="9">
        <f t="shared" si="15"/>
        <v>62100</v>
      </c>
      <c r="O47" s="9">
        <f t="shared" si="16"/>
        <v>6210</v>
      </c>
      <c r="P47" s="5"/>
      <c r="Q47" s="24"/>
      <c r="R47" s="5"/>
      <c r="S47" s="33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27">
        <v>5175</v>
      </c>
      <c r="AI47" s="9">
        <v>6210</v>
      </c>
      <c r="AJ47" s="9">
        <f t="shared" si="17"/>
        <v>6210</v>
      </c>
      <c r="AK47" s="9">
        <f t="shared" si="18"/>
        <v>6210</v>
      </c>
      <c r="AL47" s="9">
        <f t="shared" si="19"/>
        <v>2070</v>
      </c>
      <c r="AM47" s="9">
        <f t="shared" si="21"/>
        <v>25875</v>
      </c>
      <c r="AN47" s="42">
        <f t="shared" si="20"/>
        <v>43125</v>
      </c>
    </row>
    <row r="48" spans="2:40" ht="18" x14ac:dyDescent="0.35">
      <c r="B48" s="10" t="s">
        <v>185</v>
      </c>
      <c r="C48" s="10" t="s">
        <v>186</v>
      </c>
      <c r="D48" s="10" t="s">
        <v>166</v>
      </c>
      <c r="E48" s="10" t="s">
        <v>187</v>
      </c>
      <c r="F48" s="10" t="s">
        <v>188</v>
      </c>
      <c r="G48" s="10"/>
      <c r="H48" s="10" t="s">
        <v>85</v>
      </c>
      <c r="I48" s="10" t="s">
        <v>58</v>
      </c>
      <c r="J48" s="10" t="s">
        <v>170</v>
      </c>
      <c r="K48" s="28">
        <v>43790</v>
      </c>
      <c r="L48" s="42">
        <v>32525.3</v>
      </c>
      <c r="M48" s="9">
        <f t="shared" si="14"/>
        <v>3252.53</v>
      </c>
      <c r="N48" s="9">
        <f t="shared" si="15"/>
        <v>29272.77</v>
      </c>
      <c r="O48" s="9">
        <f t="shared" si="16"/>
        <v>2927.277</v>
      </c>
      <c r="P48" s="5"/>
      <c r="Q48" s="24"/>
      <c r="R48" s="5"/>
      <c r="S48" s="33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27">
        <v>2602.0300000000002</v>
      </c>
      <c r="AI48" s="9">
        <v>2927.28</v>
      </c>
      <c r="AJ48" s="9">
        <f t="shared" si="17"/>
        <v>2927.277</v>
      </c>
      <c r="AK48" s="9">
        <f t="shared" si="18"/>
        <v>2927.277</v>
      </c>
      <c r="AL48" s="9">
        <f t="shared" si="19"/>
        <v>975.75900000000001</v>
      </c>
      <c r="AM48" s="9">
        <f t="shared" si="21"/>
        <v>12359.623000000001</v>
      </c>
      <c r="AN48" s="42">
        <f t="shared" si="20"/>
        <v>20165.676999999996</v>
      </c>
    </row>
    <row r="49" spans="2:40" x14ac:dyDescent="0.3">
      <c r="B49" s="10" t="s">
        <v>189</v>
      </c>
      <c r="C49" s="10" t="s">
        <v>190</v>
      </c>
      <c r="D49" s="10" t="s">
        <v>166</v>
      </c>
      <c r="E49" s="10" t="s">
        <v>191</v>
      </c>
      <c r="F49" s="10" t="s">
        <v>192</v>
      </c>
      <c r="G49" s="10"/>
      <c r="H49" s="10" t="s">
        <v>85</v>
      </c>
      <c r="I49" s="10" t="s">
        <v>58</v>
      </c>
      <c r="J49" s="10" t="s">
        <v>170</v>
      </c>
      <c r="K49" s="28">
        <v>43797</v>
      </c>
      <c r="L49" s="42">
        <v>26693</v>
      </c>
      <c r="M49" s="9">
        <f t="shared" si="14"/>
        <v>2669.3</v>
      </c>
      <c r="N49" s="9">
        <f t="shared" si="15"/>
        <v>24023.7</v>
      </c>
      <c r="O49" s="9">
        <f t="shared" si="16"/>
        <v>2402.37</v>
      </c>
      <c r="P49" s="27"/>
      <c r="Q49" s="27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27">
        <v>213.54</v>
      </c>
      <c r="AI49" s="9">
        <f>+O49/4*2</f>
        <v>1201.1849999999999</v>
      </c>
      <c r="AJ49" s="9">
        <f t="shared" si="17"/>
        <v>2402.37</v>
      </c>
      <c r="AK49" s="9">
        <f t="shared" si="18"/>
        <v>2402.37</v>
      </c>
      <c r="AL49" s="9">
        <f t="shared" si="19"/>
        <v>800.79</v>
      </c>
      <c r="AM49" s="9">
        <f t="shared" si="21"/>
        <v>7020.2549999999992</v>
      </c>
      <c r="AN49" s="42">
        <f t="shared" si="20"/>
        <v>19672.745000000003</v>
      </c>
    </row>
    <row r="50" spans="2:40" ht="15.6" x14ac:dyDescent="0.3">
      <c r="B50" s="10" t="s">
        <v>193</v>
      </c>
      <c r="C50" s="10" t="s">
        <v>186</v>
      </c>
      <c r="D50" s="10" t="s">
        <v>194</v>
      </c>
      <c r="E50" s="10" t="s">
        <v>187</v>
      </c>
      <c r="F50" s="10" t="s">
        <v>195</v>
      </c>
      <c r="G50" s="10"/>
      <c r="H50" s="10" t="s">
        <v>85</v>
      </c>
      <c r="I50" s="10" t="s">
        <v>58</v>
      </c>
      <c r="J50" s="10" t="s">
        <v>170</v>
      </c>
      <c r="K50" s="28">
        <v>43805</v>
      </c>
      <c r="L50" s="42">
        <v>32525.3</v>
      </c>
      <c r="M50" s="9">
        <f t="shared" si="14"/>
        <v>3252.53</v>
      </c>
      <c r="N50" s="9">
        <f t="shared" si="15"/>
        <v>29272.77</v>
      </c>
      <c r="O50" s="9">
        <f t="shared" si="16"/>
        <v>2927.277</v>
      </c>
      <c r="P50" s="24">
        <f>+O50/360*25</f>
        <v>203.28312500000001</v>
      </c>
      <c r="Q50" s="24">
        <v>203.28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34">
        <v>203.28</v>
      </c>
      <c r="AI50" s="9">
        <v>2927.28</v>
      </c>
      <c r="AJ50" s="9">
        <f t="shared" si="17"/>
        <v>2927.277</v>
      </c>
      <c r="AK50" s="9">
        <f t="shared" si="18"/>
        <v>2927.277</v>
      </c>
      <c r="AL50" s="9">
        <f t="shared" si="19"/>
        <v>975.75900000000001</v>
      </c>
      <c r="AM50" s="9">
        <f t="shared" si="21"/>
        <v>9960.8730000000014</v>
      </c>
      <c r="AN50" s="42">
        <f t="shared" si="20"/>
        <v>22564.426999999996</v>
      </c>
    </row>
    <row r="51" spans="2:40" x14ac:dyDescent="0.3">
      <c r="B51" s="10" t="s">
        <v>196</v>
      </c>
      <c r="C51" s="10" t="s">
        <v>197</v>
      </c>
      <c r="D51" s="10" t="s">
        <v>166</v>
      </c>
      <c r="E51" s="35" t="s">
        <v>198</v>
      </c>
      <c r="F51" s="10" t="s">
        <v>47</v>
      </c>
      <c r="G51" s="10" t="s">
        <v>47</v>
      </c>
      <c r="H51" s="10"/>
      <c r="I51" s="10"/>
      <c r="J51" s="10" t="s">
        <v>170</v>
      </c>
      <c r="K51" s="28">
        <v>43812</v>
      </c>
      <c r="L51" s="36">
        <v>59395</v>
      </c>
      <c r="M51" s="9">
        <f t="shared" si="14"/>
        <v>5939.5</v>
      </c>
      <c r="N51" s="9">
        <f t="shared" si="15"/>
        <v>53455.5</v>
      </c>
      <c r="O51" s="9">
        <f t="shared" si="16"/>
        <v>5345.55</v>
      </c>
      <c r="P51" s="9">
        <f>5345.55/360*17</f>
        <v>252.42875000000001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5"/>
      <c r="AB51" s="5"/>
      <c r="AC51" s="5"/>
      <c r="AD51" s="5"/>
      <c r="AE51" s="5"/>
      <c r="AF51" s="5"/>
      <c r="AG51" s="5"/>
      <c r="AH51" s="5">
        <v>252.43</v>
      </c>
      <c r="AI51" s="41">
        <v>5345.55</v>
      </c>
      <c r="AJ51" s="9">
        <f t="shared" si="17"/>
        <v>5345.55</v>
      </c>
      <c r="AK51" s="9">
        <f t="shared" si="18"/>
        <v>5345.55</v>
      </c>
      <c r="AL51" s="9">
        <f t="shared" si="19"/>
        <v>1781.8500000000001</v>
      </c>
      <c r="AM51" s="9">
        <f>+AK51+AJ51+AI51+AH51+AL51</f>
        <v>18070.93</v>
      </c>
      <c r="AN51" s="42">
        <f t="shared" si="20"/>
        <v>41324.07</v>
      </c>
    </row>
    <row r="52" spans="2:40" x14ac:dyDescent="0.3">
      <c r="B52" s="10" t="s">
        <v>199</v>
      </c>
      <c r="C52" s="10" t="s">
        <v>200</v>
      </c>
      <c r="D52" s="10" t="s">
        <v>95</v>
      </c>
      <c r="E52" s="35" t="s">
        <v>201</v>
      </c>
      <c r="F52" s="10" t="s">
        <v>202</v>
      </c>
      <c r="G52" s="10" t="s">
        <v>47</v>
      </c>
      <c r="H52" s="10"/>
      <c r="I52" s="10"/>
      <c r="J52" s="10" t="s">
        <v>203</v>
      </c>
      <c r="K52" s="28">
        <v>43833</v>
      </c>
      <c r="L52" s="42">
        <v>31500</v>
      </c>
      <c r="M52" s="9">
        <f t="shared" si="14"/>
        <v>3150</v>
      </c>
      <c r="N52" s="9">
        <f t="shared" si="15"/>
        <v>28350</v>
      </c>
      <c r="O52" s="9">
        <f t="shared" si="16"/>
        <v>2835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5"/>
      <c r="AB52" s="5"/>
      <c r="AC52" s="5"/>
      <c r="AD52" s="5"/>
      <c r="AE52" s="5"/>
      <c r="AF52" s="5"/>
      <c r="AG52" s="5"/>
      <c r="AH52" s="5"/>
      <c r="AI52" s="41">
        <v>1417.5</v>
      </c>
      <c r="AJ52" s="9">
        <f t="shared" si="17"/>
        <v>2835</v>
      </c>
      <c r="AK52" s="9">
        <f t="shared" si="18"/>
        <v>2835</v>
      </c>
      <c r="AL52" s="9">
        <f t="shared" si="19"/>
        <v>945</v>
      </c>
      <c r="AM52" s="9">
        <f t="shared" ref="AM52:AM61" si="22">+AK52+AJ52+AI52+AL52</f>
        <v>8032.5</v>
      </c>
      <c r="AN52" s="42">
        <f t="shared" si="20"/>
        <v>23467.5</v>
      </c>
    </row>
    <row r="53" spans="2:40" x14ac:dyDescent="0.3">
      <c r="B53" s="10" t="s">
        <v>204</v>
      </c>
      <c r="C53" s="10" t="s">
        <v>200</v>
      </c>
      <c r="D53" s="10" t="s">
        <v>95</v>
      </c>
      <c r="E53" s="35" t="s">
        <v>205</v>
      </c>
      <c r="F53" s="10" t="s">
        <v>202</v>
      </c>
      <c r="G53" s="10" t="s">
        <v>47</v>
      </c>
      <c r="H53" s="10"/>
      <c r="I53" s="10"/>
      <c r="J53" s="10" t="s">
        <v>203</v>
      </c>
      <c r="K53" s="28">
        <v>43833</v>
      </c>
      <c r="L53" s="36">
        <v>30100</v>
      </c>
      <c r="M53" s="9">
        <f t="shared" si="14"/>
        <v>3010</v>
      </c>
      <c r="N53" s="9">
        <f t="shared" si="15"/>
        <v>27090</v>
      </c>
      <c r="O53" s="9">
        <f t="shared" si="16"/>
        <v>2709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5"/>
      <c r="AB53" s="5"/>
      <c r="AC53" s="5"/>
      <c r="AD53" s="5"/>
      <c r="AE53" s="5"/>
      <c r="AF53" s="5"/>
      <c r="AG53" s="5"/>
      <c r="AH53" s="5"/>
      <c r="AI53" s="41">
        <v>1350</v>
      </c>
      <c r="AJ53" s="9">
        <f t="shared" si="17"/>
        <v>2709</v>
      </c>
      <c r="AK53" s="9">
        <f t="shared" si="18"/>
        <v>2709</v>
      </c>
      <c r="AL53" s="9">
        <f t="shared" si="19"/>
        <v>903</v>
      </c>
      <c r="AM53" s="9">
        <f t="shared" si="22"/>
        <v>7671</v>
      </c>
      <c r="AN53" s="42">
        <f t="shared" si="20"/>
        <v>22429</v>
      </c>
    </row>
    <row r="54" spans="2:40" x14ac:dyDescent="0.3">
      <c r="B54" s="10" t="s">
        <v>206</v>
      </c>
      <c r="C54" s="10" t="s">
        <v>200</v>
      </c>
      <c r="D54" s="10" t="s">
        <v>95</v>
      </c>
      <c r="E54" s="35" t="s">
        <v>205</v>
      </c>
      <c r="F54" s="10" t="s">
        <v>202</v>
      </c>
      <c r="G54" s="10" t="s">
        <v>47</v>
      </c>
      <c r="H54" s="10"/>
      <c r="I54" s="10"/>
      <c r="J54" s="10" t="s">
        <v>203</v>
      </c>
      <c r="K54" s="28">
        <v>43833</v>
      </c>
      <c r="L54" s="42">
        <v>31500</v>
      </c>
      <c r="M54" s="9">
        <f t="shared" si="14"/>
        <v>3150</v>
      </c>
      <c r="N54" s="9">
        <f t="shared" si="15"/>
        <v>28350</v>
      </c>
      <c r="O54" s="9">
        <f t="shared" si="16"/>
        <v>2835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5"/>
      <c r="AB54" s="5"/>
      <c r="AC54" s="5"/>
      <c r="AD54" s="5"/>
      <c r="AE54" s="5"/>
      <c r="AF54" s="5"/>
      <c r="AG54" s="5"/>
      <c r="AH54" s="5"/>
      <c r="AI54" s="41">
        <v>1417.5</v>
      </c>
      <c r="AJ54" s="9">
        <f t="shared" si="17"/>
        <v>2835</v>
      </c>
      <c r="AK54" s="9">
        <f t="shared" si="18"/>
        <v>2835</v>
      </c>
      <c r="AL54" s="9">
        <f t="shared" si="19"/>
        <v>945</v>
      </c>
      <c r="AM54" s="9">
        <f t="shared" si="22"/>
        <v>8032.5</v>
      </c>
      <c r="AN54" s="42">
        <f t="shared" si="20"/>
        <v>23467.5</v>
      </c>
    </row>
    <row r="55" spans="2:40" ht="18" x14ac:dyDescent="0.35">
      <c r="B55" s="10" t="s">
        <v>207</v>
      </c>
      <c r="C55" s="65" t="s">
        <v>208</v>
      </c>
      <c r="D55" s="66"/>
      <c r="E55" s="35" t="s">
        <v>209</v>
      </c>
      <c r="F55" s="10" t="s">
        <v>210</v>
      </c>
      <c r="G55" s="10" t="s">
        <v>211</v>
      </c>
      <c r="H55" s="10" t="s">
        <v>57</v>
      </c>
      <c r="I55" s="10" t="s">
        <v>58</v>
      </c>
      <c r="J55" s="10" t="s">
        <v>170</v>
      </c>
      <c r="K55" s="28">
        <v>43845</v>
      </c>
      <c r="L55" s="36">
        <v>61970</v>
      </c>
      <c r="M55" s="9">
        <f t="shared" si="14"/>
        <v>6197</v>
      </c>
      <c r="N55" s="9">
        <f t="shared" si="15"/>
        <v>55773</v>
      </c>
      <c r="O55" s="9">
        <f t="shared" si="16"/>
        <v>5577.3</v>
      </c>
      <c r="P55" s="24"/>
      <c r="Q55" s="24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34"/>
      <c r="AI55" s="34">
        <v>2556.2600000000002</v>
      </c>
      <c r="AJ55" s="9">
        <f t="shared" si="17"/>
        <v>5577.3</v>
      </c>
      <c r="AK55" s="9">
        <f t="shared" si="18"/>
        <v>5577.3</v>
      </c>
      <c r="AL55" s="9">
        <f t="shared" si="19"/>
        <v>1859.1000000000001</v>
      </c>
      <c r="AM55" s="9">
        <f t="shared" si="22"/>
        <v>15569.960000000001</v>
      </c>
      <c r="AN55" s="42">
        <f t="shared" si="20"/>
        <v>46400.04</v>
      </c>
    </row>
    <row r="56" spans="2:40" ht="18" x14ac:dyDescent="0.35">
      <c r="B56" s="10" t="s">
        <v>212</v>
      </c>
      <c r="C56" s="65" t="s">
        <v>208</v>
      </c>
      <c r="D56" s="66"/>
      <c r="E56" s="35" t="s">
        <v>209</v>
      </c>
      <c r="F56" s="10" t="s">
        <v>210</v>
      </c>
      <c r="G56" s="10" t="s">
        <v>213</v>
      </c>
      <c r="H56" s="10" t="s">
        <v>57</v>
      </c>
      <c r="I56" s="10" t="s">
        <v>58</v>
      </c>
      <c r="J56" s="10" t="s">
        <v>170</v>
      </c>
      <c r="K56" s="28">
        <v>43845</v>
      </c>
      <c r="L56" s="36">
        <v>61970</v>
      </c>
      <c r="M56" s="9">
        <f t="shared" si="14"/>
        <v>6197</v>
      </c>
      <c r="N56" s="9">
        <f t="shared" si="15"/>
        <v>55773</v>
      </c>
      <c r="O56" s="9">
        <f t="shared" si="16"/>
        <v>5577.3</v>
      </c>
      <c r="P56" s="24"/>
      <c r="Q56" s="24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34"/>
      <c r="AI56" s="34">
        <v>2556.2600000000002</v>
      </c>
      <c r="AJ56" s="9">
        <f t="shared" si="17"/>
        <v>5577.3</v>
      </c>
      <c r="AK56" s="9">
        <f t="shared" si="18"/>
        <v>5577.3</v>
      </c>
      <c r="AL56" s="9">
        <f t="shared" si="19"/>
        <v>1859.1000000000001</v>
      </c>
      <c r="AM56" s="9">
        <f t="shared" si="22"/>
        <v>15569.960000000001</v>
      </c>
      <c r="AN56" s="42">
        <f t="shared" si="20"/>
        <v>46400.04</v>
      </c>
    </row>
    <row r="57" spans="2:40" x14ac:dyDescent="0.3">
      <c r="B57" s="10" t="s">
        <v>214</v>
      </c>
      <c r="C57" s="10" t="s">
        <v>172</v>
      </c>
      <c r="D57" s="10"/>
      <c r="E57" s="10" t="s">
        <v>215</v>
      </c>
      <c r="F57" s="10" t="s">
        <v>216</v>
      </c>
      <c r="G57" s="10" t="s">
        <v>217</v>
      </c>
      <c r="H57" s="10" t="s">
        <v>85</v>
      </c>
      <c r="I57" s="10" t="s">
        <v>58</v>
      </c>
      <c r="J57" s="10" t="s">
        <v>170</v>
      </c>
      <c r="K57" s="11">
        <v>44165</v>
      </c>
      <c r="L57" s="42">
        <v>32398</v>
      </c>
      <c r="M57" s="9">
        <f t="shared" si="14"/>
        <v>3239.8</v>
      </c>
      <c r="N57" s="9">
        <f t="shared" si="15"/>
        <v>29158.2</v>
      </c>
      <c r="O57" s="9">
        <f t="shared" si="16"/>
        <v>2915.82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5"/>
      <c r="AB57" s="5"/>
      <c r="AC57" s="5"/>
      <c r="AD57" s="5"/>
      <c r="AE57" s="5"/>
      <c r="AF57" s="5"/>
      <c r="AG57" s="5"/>
      <c r="AH57" s="5"/>
      <c r="AI57" s="42">
        <f t="shared" ref="AI57:AI62" si="23">2915.82/365*31</f>
        <v>247.64498630136987</v>
      </c>
      <c r="AJ57" s="9">
        <f t="shared" si="17"/>
        <v>2915.82</v>
      </c>
      <c r="AK57" s="9">
        <f t="shared" si="18"/>
        <v>2915.82</v>
      </c>
      <c r="AL57" s="9">
        <f t="shared" si="19"/>
        <v>971.94</v>
      </c>
      <c r="AM57" s="9">
        <f t="shared" si="22"/>
        <v>7051.2249863013694</v>
      </c>
      <c r="AN57" s="42">
        <f t="shared" si="20"/>
        <v>25346.775013698629</v>
      </c>
    </row>
    <row r="58" spans="2:40" x14ac:dyDescent="0.3">
      <c r="B58" s="10" t="s">
        <v>218</v>
      </c>
      <c r="C58" s="10" t="s">
        <v>172</v>
      </c>
      <c r="D58" s="10"/>
      <c r="E58" s="10" t="s">
        <v>215</v>
      </c>
      <c r="F58" s="10" t="s">
        <v>216</v>
      </c>
      <c r="G58" s="10" t="s">
        <v>219</v>
      </c>
      <c r="H58" s="10" t="s">
        <v>85</v>
      </c>
      <c r="I58" s="10" t="s">
        <v>58</v>
      </c>
      <c r="J58" s="10" t="s">
        <v>170</v>
      </c>
      <c r="K58" s="11">
        <v>44165</v>
      </c>
      <c r="L58" s="42">
        <v>32398</v>
      </c>
      <c r="M58" s="9">
        <f t="shared" si="14"/>
        <v>3239.8</v>
      </c>
      <c r="N58" s="9">
        <f t="shared" si="15"/>
        <v>29158.2</v>
      </c>
      <c r="O58" s="9">
        <f t="shared" si="16"/>
        <v>2915.82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5"/>
      <c r="AB58" s="5"/>
      <c r="AC58" s="5"/>
      <c r="AD58" s="5"/>
      <c r="AE58" s="5"/>
      <c r="AF58" s="5"/>
      <c r="AG58" s="5"/>
      <c r="AH58" s="5"/>
      <c r="AI58" s="42">
        <f t="shared" si="23"/>
        <v>247.64498630136987</v>
      </c>
      <c r="AJ58" s="9">
        <f t="shared" si="17"/>
        <v>2915.82</v>
      </c>
      <c r="AK58" s="9">
        <f t="shared" si="18"/>
        <v>2915.82</v>
      </c>
      <c r="AL58" s="9">
        <f t="shared" si="19"/>
        <v>971.94</v>
      </c>
      <c r="AM58" s="9">
        <f t="shared" si="22"/>
        <v>7051.2249863013694</v>
      </c>
      <c r="AN58" s="42">
        <f t="shared" si="20"/>
        <v>25346.775013698629</v>
      </c>
    </row>
    <row r="59" spans="2:40" x14ac:dyDescent="0.3">
      <c r="B59" s="10" t="s">
        <v>220</v>
      </c>
      <c r="C59" s="10" t="s">
        <v>172</v>
      </c>
      <c r="D59" s="10"/>
      <c r="E59" s="10" t="s">
        <v>215</v>
      </c>
      <c r="F59" s="10" t="s">
        <v>216</v>
      </c>
      <c r="G59" s="10" t="s">
        <v>221</v>
      </c>
      <c r="H59" s="10" t="s">
        <v>85</v>
      </c>
      <c r="I59" s="10" t="s">
        <v>58</v>
      </c>
      <c r="J59" s="10" t="s">
        <v>170</v>
      </c>
      <c r="K59" s="11">
        <v>44165</v>
      </c>
      <c r="L59" s="42">
        <v>32398</v>
      </c>
      <c r="M59" s="9">
        <f t="shared" si="14"/>
        <v>3239.8</v>
      </c>
      <c r="N59" s="9">
        <f t="shared" si="15"/>
        <v>29158.2</v>
      </c>
      <c r="O59" s="9">
        <f t="shared" si="16"/>
        <v>2915.82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5"/>
      <c r="AB59" s="5"/>
      <c r="AC59" s="5"/>
      <c r="AD59" s="5"/>
      <c r="AE59" s="5"/>
      <c r="AF59" s="5"/>
      <c r="AG59" s="5"/>
      <c r="AH59" s="5"/>
      <c r="AI59" s="42">
        <f t="shared" si="23"/>
        <v>247.64498630136987</v>
      </c>
      <c r="AJ59" s="9">
        <f t="shared" si="17"/>
        <v>2915.82</v>
      </c>
      <c r="AK59" s="9">
        <f t="shared" si="18"/>
        <v>2915.82</v>
      </c>
      <c r="AL59" s="9">
        <f t="shared" si="19"/>
        <v>971.94</v>
      </c>
      <c r="AM59" s="9">
        <f t="shared" si="22"/>
        <v>7051.2249863013694</v>
      </c>
      <c r="AN59" s="42">
        <f t="shared" si="20"/>
        <v>25346.775013698629</v>
      </c>
    </row>
    <row r="60" spans="2:40" x14ac:dyDescent="0.3">
      <c r="B60" s="10" t="s">
        <v>222</v>
      </c>
      <c r="C60" s="10" t="s">
        <v>172</v>
      </c>
      <c r="D60" s="10"/>
      <c r="E60" s="10" t="s">
        <v>215</v>
      </c>
      <c r="F60" s="10" t="s">
        <v>216</v>
      </c>
      <c r="G60" s="10" t="s">
        <v>223</v>
      </c>
      <c r="H60" s="10" t="s">
        <v>85</v>
      </c>
      <c r="I60" s="10" t="s">
        <v>58</v>
      </c>
      <c r="J60" s="10" t="s">
        <v>170</v>
      </c>
      <c r="K60" s="11">
        <v>44165</v>
      </c>
      <c r="L60" s="42">
        <v>32398</v>
      </c>
      <c r="M60" s="9">
        <f>+L60*0.1</f>
        <v>3239.8</v>
      </c>
      <c r="N60" s="9">
        <f>+L60-M60</f>
        <v>29158.2</v>
      </c>
      <c r="O60" s="9">
        <f>+N60/10</f>
        <v>2915.82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5"/>
      <c r="AB60" s="5"/>
      <c r="AC60" s="5"/>
      <c r="AD60" s="5"/>
      <c r="AE60" s="5"/>
      <c r="AF60" s="5"/>
      <c r="AG60" s="5"/>
      <c r="AH60" s="5"/>
      <c r="AI60" s="42">
        <f t="shared" si="23"/>
        <v>247.64498630136987</v>
      </c>
      <c r="AJ60" s="9">
        <f>+O60/12*12</f>
        <v>2915.82</v>
      </c>
      <c r="AK60" s="9">
        <f t="shared" si="18"/>
        <v>2915.82</v>
      </c>
      <c r="AL60" s="9">
        <f t="shared" si="19"/>
        <v>971.94</v>
      </c>
      <c r="AM60" s="9">
        <f t="shared" si="22"/>
        <v>7051.2249863013694</v>
      </c>
      <c r="AN60" s="42">
        <f>+L60-AM60</f>
        <v>25346.775013698629</v>
      </c>
    </row>
    <row r="61" spans="2:40" x14ac:dyDescent="0.3">
      <c r="B61" s="10" t="s">
        <v>224</v>
      </c>
      <c r="C61" s="10" t="s">
        <v>172</v>
      </c>
      <c r="D61" s="10"/>
      <c r="E61" s="10" t="s">
        <v>215</v>
      </c>
      <c r="F61" s="10" t="s">
        <v>216</v>
      </c>
      <c r="G61" s="10" t="s">
        <v>225</v>
      </c>
      <c r="H61" s="10" t="s">
        <v>85</v>
      </c>
      <c r="I61" s="10" t="s">
        <v>58</v>
      </c>
      <c r="J61" s="10" t="s">
        <v>170</v>
      </c>
      <c r="K61" s="11">
        <v>44165</v>
      </c>
      <c r="L61" s="42">
        <v>32398</v>
      </c>
      <c r="M61" s="9">
        <f>+L61*0.1</f>
        <v>3239.8</v>
      </c>
      <c r="N61" s="9">
        <f>+L61-M61</f>
        <v>29158.2</v>
      </c>
      <c r="O61" s="9">
        <f>+N61/10</f>
        <v>2915.82</v>
      </c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5"/>
      <c r="AB61" s="5"/>
      <c r="AC61" s="5"/>
      <c r="AD61" s="5"/>
      <c r="AE61" s="5"/>
      <c r="AF61" s="5"/>
      <c r="AG61" s="5"/>
      <c r="AH61" s="5"/>
      <c r="AI61" s="42">
        <f t="shared" si="23"/>
        <v>247.64498630136987</v>
      </c>
      <c r="AJ61" s="9">
        <f>+O61/12*12</f>
        <v>2915.82</v>
      </c>
      <c r="AK61" s="9">
        <f t="shared" si="18"/>
        <v>2915.82</v>
      </c>
      <c r="AL61" s="9">
        <f t="shared" si="19"/>
        <v>971.94</v>
      </c>
      <c r="AM61" s="9">
        <f t="shared" si="22"/>
        <v>7051.2249863013694</v>
      </c>
      <c r="AN61" s="42">
        <f>+L61-AM61</f>
        <v>25346.775013698629</v>
      </c>
    </row>
    <row r="62" spans="2:40" x14ac:dyDescent="0.3">
      <c r="B62" s="10" t="s">
        <v>226</v>
      </c>
      <c r="C62" s="10" t="s">
        <v>172</v>
      </c>
      <c r="D62" s="10"/>
      <c r="E62" s="10" t="s">
        <v>215</v>
      </c>
      <c r="F62" s="10" t="s">
        <v>216</v>
      </c>
      <c r="G62" s="10" t="s">
        <v>227</v>
      </c>
      <c r="H62" s="10" t="s">
        <v>85</v>
      </c>
      <c r="I62" s="10" t="s">
        <v>58</v>
      </c>
      <c r="J62" s="10" t="s">
        <v>170</v>
      </c>
      <c r="K62" s="11">
        <v>44165</v>
      </c>
      <c r="L62" s="42">
        <v>32398</v>
      </c>
      <c r="M62" s="9">
        <f>+L62*0.1</f>
        <v>3239.8</v>
      </c>
      <c r="N62" s="9">
        <f>+L62-M62</f>
        <v>29158.2</v>
      </c>
      <c r="O62" s="9">
        <f>+N62/10</f>
        <v>2915.82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5"/>
      <c r="AB62" s="5"/>
      <c r="AC62" s="5"/>
      <c r="AD62" s="5"/>
      <c r="AE62" s="5"/>
      <c r="AF62" s="5"/>
      <c r="AG62" s="5"/>
      <c r="AH62" s="5"/>
      <c r="AI62" s="42">
        <f t="shared" si="23"/>
        <v>247.64498630136987</v>
      </c>
      <c r="AJ62" s="9">
        <f>+O62/12*12</f>
        <v>2915.82</v>
      </c>
      <c r="AK62" s="9">
        <f t="shared" si="18"/>
        <v>2915.82</v>
      </c>
      <c r="AL62" s="9">
        <f t="shared" si="19"/>
        <v>971.94</v>
      </c>
      <c r="AM62" s="9">
        <f>+AK62+AJ62+AI62+AL62</f>
        <v>7051.2249863013694</v>
      </c>
      <c r="AN62" s="42">
        <f>+L62-AM62</f>
        <v>25346.775013698629</v>
      </c>
    </row>
    <row r="63" spans="2:40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46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47"/>
      <c r="AB63" s="47"/>
      <c r="AC63" s="47"/>
      <c r="AD63" s="47"/>
      <c r="AE63" s="47"/>
      <c r="AF63" s="47"/>
      <c r="AG63" s="47"/>
      <c r="AH63" s="47"/>
      <c r="AI63" s="46"/>
      <c r="AJ63" s="21"/>
      <c r="AK63" s="21"/>
      <c r="AL63" s="21"/>
      <c r="AM63" s="21"/>
      <c r="AN63" s="46"/>
    </row>
    <row r="64" spans="2:40" x14ac:dyDescent="0.3">
      <c r="B64" s="44"/>
      <c r="C64" s="44"/>
      <c r="D64" s="44"/>
      <c r="E64" s="44"/>
      <c r="F64" s="44"/>
      <c r="G64" s="44"/>
      <c r="H64" s="44"/>
      <c r="I64" s="44"/>
      <c r="J64" s="44"/>
      <c r="K64" s="45"/>
      <c r="L64" s="46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47"/>
      <c r="AB64" s="47"/>
      <c r="AC64" s="47"/>
      <c r="AD64" s="47"/>
      <c r="AE64" s="47"/>
      <c r="AF64" s="47"/>
      <c r="AG64" s="47"/>
      <c r="AH64" s="47"/>
      <c r="AI64" s="46"/>
      <c r="AJ64" s="21"/>
      <c r="AK64" s="21"/>
      <c r="AL64" s="21"/>
      <c r="AM64" s="21"/>
      <c r="AN64" s="46"/>
    </row>
    <row r="65" spans="2:40" x14ac:dyDescent="0.3">
      <c r="B65" s="44"/>
      <c r="C65" s="44"/>
      <c r="D65" s="44"/>
      <c r="E65" s="44"/>
      <c r="F65" s="44"/>
      <c r="G65" s="44"/>
      <c r="H65" s="44"/>
      <c r="I65" s="44"/>
      <c r="J65" s="44"/>
      <c r="K65" s="45"/>
      <c r="L65" s="46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47"/>
      <c r="AB65" s="47"/>
      <c r="AC65" s="47"/>
      <c r="AD65" s="47"/>
      <c r="AE65" s="47"/>
      <c r="AF65" s="47"/>
      <c r="AG65" s="47"/>
      <c r="AH65" s="47"/>
      <c r="AI65" s="46"/>
      <c r="AJ65" s="21"/>
      <c r="AK65" s="21"/>
      <c r="AL65" s="21"/>
      <c r="AM65" s="21"/>
      <c r="AN65" s="46"/>
    </row>
    <row r="66" spans="2:40" x14ac:dyDescent="0.3">
      <c r="B66" s="44"/>
      <c r="C66" s="44"/>
      <c r="D66" s="44"/>
      <c r="E66" s="44"/>
      <c r="F66" s="44"/>
      <c r="G66" s="44"/>
      <c r="H66" s="44"/>
      <c r="I66" s="44"/>
      <c r="J66" s="44"/>
      <c r="K66" s="45"/>
      <c r="L66" s="46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47"/>
      <c r="AB66" s="47"/>
      <c r="AC66" s="47"/>
      <c r="AD66" s="47"/>
      <c r="AE66" s="47"/>
      <c r="AF66" s="47"/>
      <c r="AG66" s="47"/>
      <c r="AH66" s="47"/>
      <c r="AI66" s="46"/>
      <c r="AJ66" s="21"/>
      <c r="AK66" s="21"/>
      <c r="AL66" s="21"/>
      <c r="AM66" s="21"/>
      <c r="AN66" s="46"/>
    </row>
    <row r="67" spans="2:40" x14ac:dyDescent="0.3">
      <c r="B67" s="44"/>
      <c r="C67" s="44"/>
      <c r="D67" s="44"/>
      <c r="E67" s="44"/>
      <c r="F67" s="44"/>
      <c r="G67" s="44"/>
      <c r="H67" s="44"/>
      <c r="I67" s="44"/>
      <c r="J67" s="44"/>
      <c r="K67" s="45"/>
      <c r="L67" s="46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47"/>
      <c r="AB67" s="47"/>
      <c r="AC67" s="47"/>
      <c r="AD67" s="47"/>
      <c r="AE67" s="47"/>
      <c r="AF67" s="47"/>
      <c r="AG67" s="47"/>
      <c r="AH67" s="47"/>
      <c r="AI67" s="46"/>
      <c r="AJ67" s="21"/>
      <c r="AK67" s="21"/>
      <c r="AL67" s="21"/>
      <c r="AM67" s="21"/>
      <c r="AN67" s="46"/>
    </row>
    <row r="68" spans="2:40" x14ac:dyDescent="0.3">
      <c r="B68" s="44"/>
      <c r="C68" s="44"/>
      <c r="D68" s="44"/>
      <c r="E68" s="44"/>
      <c r="F68" s="44"/>
      <c r="G68" s="44"/>
      <c r="H68" s="44"/>
      <c r="I68" s="44"/>
      <c r="J68" s="44"/>
      <c r="K68" s="45"/>
      <c r="L68" s="46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47"/>
      <c r="AB68" s="47"/>
      <c r="AC68" s="47"/>
      <c r="AD68" s="47"/>
      <c r="AE68" s="47"/>
      <c r="AF68" s="47"/>
      <c r="AG68" s="47"/>
      <c r="AH68" s="47"/>
      <c r="AI68" s="46"/>
      <c r="AJ68" s="21"/>
      <c r="AK68" s="21"/>
      <c r="AL68" s="21"/>
      <c r="AM68" s="21"/>
      <c r="AN68" s="46"/>
    </row>
    <row r="69" spans="2:40" x14ac:dyDescent="0.3">
      <c r="B69" s="44"/>
      <c r="C69" s="44"/>
      <c r="D69" s="44"/>
      <c r="E69" s="44"/>
      <c r="F69" s="44"/>
      <c r="G69" s="44"/>
      <c r="H69" s="44"/>
      <c r="I69" s="44"/>
      <c r="J69" s="44"/>
      <c r="K69" s="45"/>
      <c r="L69" s="46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47"/>
      <c r="AB69" s="47"/>
      <c r="AC69" s="47"/>
      <c r="AD69" s="47"/>
      <c r="AE69" s="47"/>
      <c r="AF69" s="47"/>
      <c r="AG69" s="47"/>
      <c r="AH69" s="47"/>
      <c r="AI69" s="46"/>
      <c r="AJ69" s="21"/>
      <c r="AK69" s="21"/>
      <c r="AL69" s="21"/>
      <c r="AM69" s="21"/>
      <c r="AN69" s="46"/>
    </row>
    <row r="70" spans="2:40" x14ac:dyDescent="0.3">
      <c r="B70" s="44"/>
      <c r="C70" s="44"/>
      <c r="D70" s="44"/>
      <c r="E70" s="44"/>
      <c r="F70" s="44"/>
      <c r="G70" s="44"/>
      <c r="H70" s="44"/>
      <c r="I70" s="44"/>
      <c r="J70" s="44"/>
      <c r="K70" s="45"/>
      <c r="L70" s="46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47"/>
      <c r="AB70" s="47"/>
      <c r="AC70" s="47"/>
      <c r="AD70" s="47"/>
      <c r="AE70" s="47"/>
      <c r="AF70" s="47"/>
      <c r="AG70" s="47"/>
      <c r="AH70" s="47"/>
      <c r="AI70" s="46"/>
      <c r="AJ70" s="21"/>
      <c r="AK70" s="21"/>
      <c r="AL70" s="21"/>
      <c r="AM70" s="21"/>
      <c r="AN70" s="46"/>
    </row>
    <row r="71" spans="2:40" x14ac:dyDescent="0.3">
      <c r="B71" s="44"/>
      <c r="C71" s="44"/>
      <c r="D71" s="44"/>
      <c r="E71" s="44"/>
      <c r="F71" s="44"/>
      <c r="G71" s="44"/>
      <c r="H71" s="44"/>
      <c r="I71" s="44"/>
      <c r="J71" s="44"/>
      <c r="K71" s="45"/>
      <c r="L71" s="46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47"/>
      <c r="AB71" s="47"/>
      <c r="AC71" s="47"/>
      <c r="AD71" s="47"/>
      <c r="AE71" s="47"/>
      <c r="AF71" s="47"/>
      <c r="AG71" s="47"/>
      <c r="AH71" s="47"/>
      <c r="AI71" s="46"/>
      <c r="AJ71" s="21"/>
      <c r="AK71" s="21"/>
      <c r="AL71" s="21"/>
      <c r="AM71" s="21"/>
      <c r="AN71" s="46"/>
    </row>
    <row r="72" spans="2:40" x14ac:dyDescent="0.3">
      <c r="B72" s="44"/>
      <c r="C72" s="44"/>
      <c r="D72" s="44"/>
      <c r="E72" s="44"/>
      <c r="F72" s="44"/>
      <c r="G72" s="44"/>
      <c r="H72" s="44"/>
      <c r="I72" s="44"/>
      <c r="J72" s="44"/>
      <c r="K72" s="45"/>
      <c r="L72" s="46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47"/>
      <c r="AB72" s="47"/>
      <c r="AC72" s="47"/>
      <c r="AD72" s="47"/>
      <c r="AE72" s="47"/>
      <c r="AF72" s="47"/>
      <c r="AG72" s="47"/>
      <c r="AH72" s="47"/>
      <c r="AI72" s="46"/>
      <c r="AJ72" s="21"/>
      <c r="AK72" s="21"/>
      <c r="AL72" s="21"/>
      <c r="AM72" s="21"/>
      <c r="AN72" s="46"/>
    </row>
    <row r="73" spans="2:40" x14ac:dyDescent="0.3">
      <c r="B73" s="44"/>
      <c r="C73" s="44"/>
      <c r="D73" s="44"/>
      <c r="E73" s="44"/>
      <c r="F73" s="44"/>
      <c r="G73" s="44"/>
      <c r="H73" s="44"/>
      <c r="I73" s="44"/>
      <c r="J73" s="44"/>
      <c r="K73" s="45"/>
      <c r="L73" s="46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47"/>
      <c r="AB73" s="47"/>
      <c r="AC73" s="47"/>
      <c r="AD73" s="47"/>
      <c r="AE73" s="47"/>
      <c r="AF73" s="47"/>
      <c r="AG73" s="47"/>
      <c r="AH73" s="47"/>
      <c r="AI73" s="46"/>
      <c r="AJ73" s="21"/>
      <c r="AK73" s="21"/>
      <c r="AL73" s="21"/>
      <c r="AM73" s="21"/>
      <c r="AN73" s="46"/>
    </row>
    <row r="74" spans="2:40" x14ac:dyDescent="0.3">
      <c r="B74" s="44"/>
      <c r="C74" s="44"/>
      <c r="D74" s="44"/>
      <c r="E74" s="44"/>
      <c r="F74" s="44"/>
      <c r="G74" s="44"/>
      <c r="H74" s="44"/>
      <c r="I74" s="44"/>
      <c r="J74" s="44"/>
      <c r="K74" s="45"/>
      <c r="L74" s="46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47"/>
      <c r="AB74" s="47"/>
      <c r="AC74" s="47"/>
      <c r="AD74" s="47"/>
      <c r="AE74" s="47"/>
      <c r="AF74" s="47"/>
      <c r="AG74" s="47"/>
      <c r="AH74" s="47"/>
      <c r="AI74" s="46"/>
      <c r="AJ74" s="21"/>
      <c r="AK74" s="21"/>
      <c r="AL74" s="21"/>
      <c r="AM74" s="21"/>
      <c r="AN74" s="46"/>
    </row>
    <row r="76" spans="2:40" x14ac:dyDescent="0.3">
      <c r="B76" s="1" t="s">
        <v>0</v>
      </c>
      <c r="C76" s="1" t="s">
        <v>1</v>
      </c>
      <c r="D76" s="1" t="s">
        <v>2</v>
      </c>
      <c r="E76" s="1" t="s">
        <v>3</v>
      </c>
      <c r="F76" s="1" t="s">
        <v>4</v>
      </c>
      <c r="G76" s="1" t="s">
        <v>5</v>
      </c>
      <c r="H76" s="1" t="s">
        <v>6</v>
      </c>
      <c r="I76" s="1" t="s">
        <v>7</v>
      </c>
      <c r="J76" s="1" t="s">
        <v>8</v>
      </c>
      <c r="K76" s="1" t="s">
        <v>9</v>
      </c>
      <c r="L76" s="1" t="s">
        <v>10</v>
      </c>
      <c r="M76" s="1" t="s">
        <v>11</v>
      </c>
      <c r="N76" s="1" t="s">
        <v>12</v>
      </c>
      <c r="O76" s="1" t="s">
        <v>13</v>
      </c>
      <c r="P76" s="1" t="s">
        <v>14</v>
      </c>
      <c r="Q76" s="1" t="s">
        <v>15</v>
      </c>
      <c r="R76" s="1" t="s">
        <v>16</v>
      </c>
      <c r="S76" s="1" t="s">
        <v>17</v>
      </c>
      <c r="T76" s="1" t="s">
        <v>18</v>
      </c>
      <c r="U76" s="1" t="s">
        <v>19</v>
      </c>
      <c r="V76" s="1" t="s">
        <v>20</v>
      </c>
      <c r="W76" s="1" t="s">
        <v>21</v>
      </c>
      <c r="X76" s="1" t="s">
        <v>22</v>
      </c>
      <c r="Y76" s="1" t="s">
        <v>23</v>
      </c>
      <c r="Z76" s="1" t="s">
        <v>24</v>
      </c>
      <c r="AA76" s="1" t="s">
        <v>25</v>
      </c>
      <c r="AB76" s="1" t="s">
        <v>26</v>
      </c>
      <c r="AC76" s="1" t="s">
        <v>27</v>
      </c>
      <c r="AD76" s="1" t="s">
        <v>28</v>
      </c>
      <c r="AE76" s="1" t="s">
        <v>29</v>
      </c>
      <c r="AF76" s="1" t="s">
        <v>30</v>
      </c>
      <c r="AG76" s="1" t="s">
        <v>31</v>
      </c>
      <c r="AH76" s="1" t="s">
        <v>32</v>
      </c>
      <c r="AI76" s="1" t="s">
        <v>33</v>
      </c>
      <c r="AJ76" s="1" t="s">
        <v>34</v>
      </c>
      <c r="AK76" s="1" t="s">
        <v>35</v>
      </c>
      <c r="AL76" s="1" t="s">
        <v>36</v>
      </c>
      <c r="AM76" s="1" t="s">
        <v>37</v>
      </c>
      <c r="AN76" s="1" t="s">
        <v>38</v>
      </c>
    </row>
    <row r="77" spans="2:40" x14ac:dyDescent="0.3">
      <c r="B77" s="10" t="s">
        <v>228</v>
      </c>
      <c r="C77" s="10" t="s">
        <v>172</v>
      </c>
      <c r="D77" s="10"/>
      <c r="E77" s="10" t="s">
        <v>215</v>
      </c>
      <c r="F77" s="10" t="s">
        <v>216</v>
      </c>
      <c r="G77" s="10" t="s">
        <v>229</v>
      </c>
      <c r="H77" s="10" t="s">
        <v>85</v>
      </c>
      <c r="I77" s="10" t="s">
        <v>58</v>
      </c>
      <c r="J77" s="10" t="s">
        <v>170</v>
      </c>
      <c r="K77" s="11">
        <v>44165</v>
      </c>
      <c r="L77" s="42">
        <v>32398</v>
      </c>
      <c r="M77" s="9">
        <f t="shared" ref="M77:M102" si="24">+L77*0.1</f>
        <v>3239.8</v>
      </c>
      <c r="N77" s="9">
        <f t="shared" ref="N77:N102" si="25">+L77-M77</f>
        <v>29158.2</v>
      </c>
      <c r="O77" s="9">
        <f t="shared" ref="O77:O102" si="26">+N77/10</f>
        <v>2915.82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5"/>
      <c r="AB77" s="5"/>
      <c r="AC77" s="5"/>
      <c r="AD77" s="5"/>
      <c r="AE77" s="5"/>
      <c r="AF77" s="5"/>
      <c r="AG77" s="5"/>
      <c r="AH77" s="5"/>
      <c r="AI77" s="42">
        <f>2915.82/365*31</f>
        <v>247.64498630136987</v>
      </c>
      <c r="AJ77" s="9">
        <f t="shared" ref="AJ77:AJ83" si="27">+O77/12*12</f>
        <v>2915.82</v>
      </c>
      <c r="AK77" s="9">
        <f>+AJ77/12*12</f>
        <v>2915.82</v>
      </c>
      <c r="AL77" s="9">
        <f t="shared" ref="AL77:AL96" si="28">+AK77/12*4</f>
        <v>971.94</v>
      </c>
      <c r="AM77" s="9">
        <f t="shared" ref="AM77:AM101" si="29">SUM(AC77:AL77)</f>
        <v>7051.2249863013712</v>
      </c>
      <c r="AN77" s="42">
        <f t="shared" ref="AN77:AN102" si="30">+L77-AM77</f>
        <v>25346.775013698629</v>
      </c>
    </row>
    <row r="78" spans="2:40" x14ac:dyDescent="0.3">
      <c r="B78" s="10" t="s">
        <v>230</v>
      </c>
      <c r="C78" s="10" t="s">
        <v>172</v>
      </c>
      <c r="D78" s="10"/>
      <c r="E78" s="10" t="s">
        <v>215</v>
      </c>
      <c r="F78" s="10" t="s">
        <v>216</v>
      </c>
      <c r="G78" s="10" t="s">
        <v>231</v>
      </c>
      <c r="H78" s="10" t="s">
        <v>85</v>
      </c>
      <c r="I78" s="10" t="s">
        <v>58</v>
      </c>
      <c r="J78" s="10" t="s">
        <v>170</v>
      </c>
      <c r="K78" s="11">
        <v>44165</v>
      </c>
      <c r="L78" s="42">
        <v>32398</v>
      </c>
      <c r="M78" s="9">
        <f t="shared" si="24"/>
        <v>3239.8</v>
      </c>
      <c r="N78" s="9">
        <f t="shared" si="25"/>
        <v>29158.2</v>
      </c>
      <c r="O78" s="9">
        <f t="shared" si="26"/>
        <v>2915.82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5"/>
      <c r="AB78" s="5"/>
      <c r="AC78" s="5"/>
      <c r="AD78" s="5"/>
      <c r="AE78" s="5"/>
      <c r="AF78" s="5"/>
      <c r="AG78" s="5"/>
      <c r="AH78" s="5"/>
      <c r="AI78" s="42">
        <f>2915.82/365*31</f>
        <v>247.64498630136987</v>
      </c>
      <c r="AJ78" s="9">
        <f t="shared" si="27"/>
        <v>2915.82</v>
      </c>
      <c r="AK78" s="9">
        <f t="shared" ref="AK78:AK83" si="31">+AJ78/12*12</f>
        <v>2915.82</v>
      </c>
      <c r="AL78" s="9">
        <f t="shared" si="28"/>
        <v>971.94</v>
      </c>
      <c r="AM78" s="9">
        <f t="shared" si="29"/>
        <v>7051.2249863013712</v>
      </c>
      <c r="AN78" s="42">
        <f t="shared" si="30"/>
        <v>25346.775013698629</v>
      </c>
    </row>
    <row r="79" spans="2:40" x14ac:dyDescent="0.3">
      <c r="B79" s="10" t="s">
        <v>232</v>
      </c>
      <c r="C79" s="10" t="s">
        <v>172</v>
      </c>
      <c r="D79" s="10"/>
      <c r="E79" s="10" t="s">
        <v>215</v>
      </c>
      <c r="F79" s="10" t="s">
        <v>216</v>
      </c>
      <c r="G79" s="10" t="s">
        <v>233</v>
      </c>
      <c r="H79" s="10" t="s">
        <v>85</v>
      </c>
      <c r="I79" s="10" t="s">
        <v>58</v>
      </c>
      <c r="J79" s="10" t="s">
        <v>170</v>
      </c>
      <c r="K79" s="11">
        <v>44165</v>
      </c>
      <c r="L79" s="42">
        <v>32398</v>
      </c>
      <c r="M79" s="9">
        <f t="shared" si="24"/>
        <v>3239.8</v>
      </c>
      <c r="N79" s="9">
        <f t="shared" si="25"/>
        <v>29158.2</v>
      </c>
      <c r="O79" s="9">
        <f t="shared" si="26"/>
        <v>2915.82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5"/>
      <c r="AB79" s="5"/>
      <c r="AC79" s="5"/>
      <c r="AD79" s="5"/>
      <c r="AE79" s="5"/>
      <c r="AF79" s="5"/>
      <c r="AG79" s="5"/>
      <c r="AH79" s="5"/>
      <c r="AI79" s="42">
        <f>2915.82/365*31</f>
        <v>247.64498630136987</v>
      </c>
      <c r="AJ79" s="9">
        <f t="shared" si="27"/>
        <v>2915.82</v>
      </c>
      <c r="AK79" s="9">
        <f t="shared" si="31"/>
        <v>2915.82</v>
      </c>
      <c r="AL79" s="9">
        <f t="shared" si="28"/>
        <v>971.94</v>
      </c>
      <c r="AM79" s="9">
        <f t="shared" si="29"/>
        <v>7051.2249863013712</v>
      </c>
      <c r="AN79" s="42">
        <f t="shared" si="30"/>
        <v>25346.775013698629</v>
      </c>
    </row>
    <row r="80" spans="2:40" x14ac:dyDescent="0.3">
      <c r="B80" s="10" t="s">
        <v>234</v>
      </c>
      <c r="C80" s="10" t="s">
        <v>172</v>
      </c>
      <c r="D80" s="10"/>
      <c r="E80" s="10" t="s">
        <v>215</v>
      </c>
      <c r="F80" s="10" t="s">
        <v>216</v>
      </c>
      <c r="G80" s="10" t="s">
        <v>235</v>
      </c>
      <c r="H80" s="10" t="s">
        <v>85</v>
      </c>
      <c r="I80" s="10" t="s">
        <v>58</v>
      </c>
      <c r="J80" s="10" t="s">
        <v>170</v>
      </c>
      <c r="K80" s="11">
        <v>44165</v>
      </c>
      <c r="L80" s="42">
        <v>32398</v>
      </c>
      <c r="M80" s="9">
        <f t="shared" si="24"/>
        <v>3239.8</v>
      </c>
      <c r="N80" s="9">
        <f t="shared" si="25"/>
        <v>29158.2</v>
      </c>
      <c r="O80" s="9">
        <f t="shared" si="26"/>
        <v>2915.82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5"/>
      <c r="AB80" s="5"/>
      <c r="AC80" s="5"/>
      <c r="AD80" s="5"/>
      <c r="AE80" s="5"/>
      <c r="AF80" s="5"/>
      <c r="AG80" s="5"/>
      <c r="AH80" s="5"/>
      <c r="AI80" s="42">
        <f>2915.82/365*31</f>
        <v>247.64498630136987</v>
      </c>
      <c r="AJ80" s="9">
        <f t="shared" si="27"/>
        <v>2915.82</v>
      </c>
      <c r="AK80" s="9">
        <f t="shared" si="31"/>
        <v>2915.82</v>
      </c>
      <c r="AL80" s="9">
        <f t="shared" si="28"/>
        <v>971.94</v>
      </c>
      <c r="AM80" s="9">
        <f t="shared" si="29"/>
        <v>7051.2249863013712</v>
      </c>
      <c r="AN80" s="42">
        <f t="shared" si="30"/>
        <v>25346.775013698629</v>
      </c>
    </row>
    <row r="81" spans="2:40" x14ac:dyDescent="0.3">
      <c r="B81" s="10" t="s">
        <v>236</v>
      </c>
      <c r="C81" s="65" t="s">
        <v>186</v>
      </c>
      <c r="D81" s="66"/>
      <c r="E81" s="10" t="s">
        <v>187</v>
      </c>
      <c r="F81" s="10" t="s">
        <v>237</v>
      </c>
      <c r="G81" s="10"/>
      <c r="H81" s="10" t="s">
        <v>115</v>
      </c>
      <c r="I81" s="10" t="s">
        <v>58</v>
      </c>
      <c r="J81" s="10" t="s">
        <v>170</v>
      </c>
      <c r="K81" s="11">
        <v>44147</v>
      </c>
      <c r="L81" s="42">
        <v>34933</v>
      </c>
      <c r="M81" s="9">
        <f t="shared" si="24"/>
        <v>3493.3</v>
      </c>
      <c r="N81" s="9">
        <f t="shared" si="25"/>
        <v>31439.7</v>
      </c>
      <c r="O81" s="9">
        <f t="shared" si="26"/>
        <v>3143.9700000000003</v>
      </c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5"/>
      <c r="AB81" s="5"/>
      <c r="AC81" s="5"/>
      <c r="AD81" s="5"/>
      <c r="AE81" s="5"/>
      <c r="AF81" s="5"/>
      <c r="AG81" s="5"/>
      <c r="AH81" s="5"/>
      <c r="AI81" s="42">
        <f>3143.97/365*49</f>
        <v>422.06720547945207</v>
      </c>
      <c r="AJ81" s="9">
        <f t="shared" si="27"/>
        <v>3143.9700000000003</v>
      </c>
      <c r="AK81" s="9">
        <f t="shared" si="31"/>
        <v>3143.9700000000003</v>
      </c>
      <c r="AL81" s="9">
        <f t="shared" si="28"/>
        <v>1047.99</v>
      </c>
      <c r="AM81" s="9">
        <f t="shared" si="29"/>
        <v>7757.9972054794525</v>
      </c>
      <c r="AN81" s="42">
        <f t="shared" si="30"/>
        <v>27175.002794520547</v>
      </c>
    </row>
    <row r="82" spans="2:40" x14ac:dyDescent="0.3">
      <c r="B82" s="10" t="s">
        <v>238</v>
      </c>
      <c r="C82" s="65" t="s">
        <v>186</v>
      </c>
      <c r="D82" s="66"/>
      <c r="E82" s="10" t="s">
        <v>187</v>
      </c>
      <c r="F82" s="10" t="s">
        <v>239</v>
      </c>
      <c r="G82" s="10" t="s">
        <v>240</v>
      </c>
      <c r="H82" s="10" t="s">
        <v>115</v>
      </c>
      <c r="I82" s="10" t="s">
        <v>58</v>
      </c>
      <c r="J82" s="10" t="s">
        <v>170</v>
      </c>
      <c r="K82" s="11">
        <v>44154</v>
      </c>
      <c r="L82" s="42">
        <v>45989</v>
      </c>
      <c r="M82" s="9">
        <f t="shared" si="24"/>
        <v>4598.9000000000005</v>
      </c>
      <c r="N82" s="9">
        <f t="shared" si="25"/>
        <v>41390.1</v>
      </c>
      <c r="O82" s="9">
        <f t="shared" si="26"/>
        <v>4139.01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5"/>
      <c r="AB82" s="5"/>
      <c r="AC82" s="5"/>
      <c r="AD82" s="5"/>
      <c r="AE82" s="5"/>
      <c r="AF82" s="5"/>
      <c r="AG82" s="5"/>
      <c r="AH82" s="5"/>
      <c r="AI82" s="42">
        <f>4139.01/365*42</f>
        <v>476.26964383561642</v>
      </c>
      <c r="AJ82" s="9">
        <f t="shared" si="27"/>
        <v>4139.01</v>
      </c>
      <c r="AK82" s="9">
        <f t="shared" si="31"/>
        <v>4139.01</v>
      </c>
      <c r="AL82" s="9">
        <f t="shared" si="28"/>
        <v>1379.67</v>
      </c>
      <c r="AM82" s="9">
        <f t="shared" si="29"/>
        <v>10133.959643835617</v>
      </c>
      <c r="AN82" s="42">
        <f t="shared" si="30"/>
        <v>35855.040356164383</v>
      </c>
    </row>
    <row r="83" spans="2:40" x14ac:dyDescent="0.3">
      <c r="B83" s="10" t="s">
        <v>241</v>
      </c>
      <c r="C83" s="65" t="s">
        <v>186</v>
      </c>
      <c r="D83" s="66"/>
      <c r="E83" s="10" t="s">
        <v>242</v>
      </c>
      <c r="F83" s="10" t="s">
        <v>243</v>
      </c>
      <c r="G83" s="10"/>
      <c r="H83" s="10" t="s">
        <v>115</v>
      </c>
      <c r="I83" s="10" t="s">
        <v>58</v>
      </c>
      <c r="J83" s="10" t="s">
        <v>170</v>
      </c>
      <c r="K83" s="11">
        <v>44166</v>
      </c>
      <c r="L83" s="42">
        <v>28373</v>
      </c>
      <c r="M83" s="9">
        <f t="shared" si="24"/>
        <v>2837.3</v>
      </c>
      <c r="N83" s="9">
        <f t="shared" si="25"/>
        <v>25535.7</v>
      </c>
      <c r="O83" s="9">
        <f t="shared" si="26"/>
        <v>2553.5700000000002</v>
      </c>
      <c r="P83" s="9"/>
      <c r="Q83" s="9"/>
      <c r="R83" s="9"/>
      <c r="S83" s="9">
        <v>2553.5700000000002</v>
      </c>
      <c r="T83" s="9"/>
      <c r="U83" s="9"/>
      <c r="V83" s="9"/>
      <c r="W83" s="9"/>
      <c r="X83" s="9"/>
      <c r="Y83" s="9"/>
      <c r="Z83" s="9"/>
      <c r="AA83" s="5"/>
      <c r="AB83" s="5"/>
      <c r="AC83" s="5"/>
      <c r="AD83" s="5"/>
      <c r="AE83" s="5"/>
      <c r="AF83" s="5"/>
      <c r="AG83" s="5"/>
      <c r="AH83" s="5"/>
      <c r="AI83" s="42">
        <f>2553.57/365*30</f>
        <v>209.88246575342467</v>
      </c>
      <c r="AJ83" s="9">
        <f t="shared" si="27"/>
        <v>2553.5700000000002</v>
      </c>
      <c r="AK83" s="9">
        <f t="shared" si="31"/>
        <v>2553.5700000000002</v>
      </c>
      <c r="AL83" s="9">
        <f t="shared" si="28"/>
        <v>851.19</v>
      </c>
      <c r="AM83" s="9">
        <f t="shared" si="29"/>
        <v>6168.2124657534259</v>
      </c>
      <c r="AN83" s="42">
        <f t="shared" si="30"/>
        <v>22204.787534246574</v>
      </c>
    </row>
    <row r="84" spans="2:40" x14ac:dyDescent="0.3">
      <c r="B84" s="10" t="s">
        <v>244</v>
      </c>
      <c r="C84" s="10" t="s">
        <v>245</v>
      </c>
      <c r="D84" s="10"/>
      <c r="E84" s="10" t="s">
        <v>246</v>
      </c>
      <c r="F84" s="10" t="s">
        <v>247</v>
      </c>
      <c r="G84" s="10">
        <v>3667000287</v>
      </c>
      <c r="H84" s="10" t="s">
        <v>85</v>
      </c>
      <c r="I84" s="10" t="s">
        <v>58</v>
      </c>
      <c r="J84" s="10" t="s">
        <v>170</v>
      </c>
      <c r="K84" s="11">
        <v>44204</v>
      </c>
      <c r="L84" s="42">
        <v>65495</v>
      </c>
      <c r="M84" s="9">
        <f t="shared" si="24"/>
        <v>6549.5</v>
      </c>
      <c r="N84" s="9">
        <f t="shared" si="25"/>
        <v>58945.5</v>
      </c>
      <c r="O84" s="9">
        <f t="shared" si="26"/>
        <v>5894.55</v>
      </c>
      <c r="P84" s="9">
        <f>+O84/360*352</f>
        <v>5763.56</v>
      </c>
      <c r="Q84" s="9">
        <f t="shared" ref="Q84:Q96" si="32">+P84/12*10</f>
        <v>4802.9666666666672</v>
      </c>
      <c r="R84" s="9">
        <v>4802.97</v>
      </c>
      <c r="S84" s="9">
        <v>5894.55</v>
      </c>
      <c r="T84" s="9"/>
      <c r="U84" s="9"/>
      <c r="V84" s="9"/>
      <c r="W84" s="9"/>
      <c r="X84" s="9"/>
      <c r="Y84" s="9"/>
      <c r="Z84" s="9"/>
      <c r="AA84" s="5"/>
      <c r="AB84" s="5"/>
      <c r="AC84" s="5"/>
      <c r="AD84" s="5"/>
      <c r="AE84" s="5"/>
      <c r="AF84" s="5"/>
      <c r="AG84" s="5"/>
      <c r="AH84" s="5"/>
      <c r="AI84" s="42"/>
      <c r="AJ84" s="9">
        <v>5763.56</v>
      </c>
      <c r="AK84" s="9">
        <f t="shared" ref="AK84:AK96" si="33">+S84</f>
        <v>5894.55</v>
      </c>
      <c r="AL84" s="9">
        <f t="shared" si="28"/>
        <v>1964.8500000000001</v>
      </c>
      <c r="AM84" s="9">
        <f t="shared" si="29"/>
        <v>13622.960000000001</v>
      </c>
      <c r="AN84" s="42">
        <f t="shared" si="30"/>
        <v>51872.04</v>
      </c>
    </row>
    <row r="85" spans="2:40" x14ac:dyDescent="0.3">
      <c r="B85" s="10" t="s">
        <v>248</v>
      </c>
      <c r="C85" s="10" t="s">
        <v>249</v>
      </c>
      <c r="D85" s="10"/>
      <c r="E85" s="10" t="s">
        <v>250</v>
      </c>
      <c r="F85" s="10" t="s">
        <v>251</v>
      </c>
      <c r="G85" s="10" t="s">
        <v>252</v>
      </c>
      <c r="H85" s="10" t="s">
        <v>85</v>
      </c>
      <c r="I85" s="10" t="s">
        <v>58</v>
      </c>
      <c r="J85" s="10" t="s">
        <v>253</v>
      </c>
      <c r="K85" s="11">
        <v>44202</v>
      </c>
      <c r="L85" s="42">
        <v>41415</v>
      </c>
      <c r="M85" s="9">
        <f t="shared" si="24"/>
        <v>4141.5</v>
      </c>
      <c r="N85" s="9">
        <f t="shared" si="25"/>
        <v>37273.5</v>
      </c>
      <c r="O85" s="9">
        <f t="shared" si="26"/>
        <v>3727.35</v>
      </c>
      <c r="P85" s="9">
        <f>+O85/360*354</f>
        <v>3665.2275</v>
      </c>
      <c r="Q85" s="9">
        <f t="shared" si="32"/>
        <v>3054.3562500000003</v>
      </c>
      <c r="R85" s="9">
        <v>3054.36</v>
      </c>
      <c r="S85" s="9">
        <v>3727.35</v>
      </c>
      <c r="T85" s="9"/>
      <c r="U85" s="9"/>
      <c r="V85" s="9"/>
      <c r="W85" s="9"/>
      <c r="X85" s="9"/>
      <c r="Y85" s="9"/>
      <c r="Z85" s="9"/>
      <c r="AA85" s="5"/>
      <c r="AB85" s="5"/>
      <c r="AC85" s="5"/>
      <c r="AD85" s="5"/>
      <c r="AE85" s="5"/>
      <c r="AF85" s="5"/>
      <c r="AG85" s="5"/>
      <c r="AH85" s="5"/>
      <c r="AI85" s="42"/>
      <c r="AJ85" s="9">
        <v>3665.23</v>
      </c>
      <c r="AK85" s="9">
        <f t="shared" si="33"/>
        <v>3727.35</v>
      </c>
      <c r="AL85" s="9">
        <f t="shared" si="28"/>
        <v>1242.45</v>
      </c>
      <c r="AM85" s="9">
        <f t="shared" si="29"/>
        <v>8635.0300000000007</v>
      </c>
      <c r="AN85" s="42">
        <f t="shared" si="30"/>
        <v>32779.97</v>
      </c>
    </row>
    <row r="86" spans="2:40" x14ac:dyDescent="0.3">
      <c r="B86" s="10" t="s">
        <v>254</v>
      </c>
      <c r="C86" s="65" t="s">
        <v>255</v>
      </c>
      <c r="D86" s="66"/>
      <c r="E86" s="10" t="s">
        <v>256</v>
      </c>
      <c r="F86" s="10" t="s">
        <v>257</v>
      </c>
      <c r="G86" s="10" t="s">
        <v>258</v>
      </c>
      <c r="H86" s="10" t="s">
        <v>115</v>
      </c>
      <c r="I86" s="10" t="s">
        <v>58</v>
      </c>
      <c r="J86" s="10" t="s">
        <v>253</v>
      </c>
      <c r="K86" s="11">
        <v>44377</v>
      </c>
      <c r="L86" s="42">
        <v>29371.05</v>
      </c>
      <c r="M86" s="9">
        <f t="shared" si="24"/>
        <v>2937.105</v>
      </c>
      <c r="N86" s="9">
        <f t="shared" si="25"/>
        <v>26433.945</v>
      </c>
      <c r="O86" s="9">
        <f t="shared" si="26"/>
        <v>2643.3944999999999</v>
      </c>
      <c r="P86" s="9">
        <f>+O86/360*180</f>
        <v>1321.6972499999999</v>
      </c>
      <c r="Q86" s="9">
        <f t="shared" si="32"/>
        <v>1101.4143749999998</v>
      </c>
      <c r="R86" s="9">
        <v>1101.4100000000001</v>
      </c>
      <c r="S86" s="9">
        <v>2643.39</v>
      </c>
      <c r="T86" s="9"/>
      <c r="U86" s="9"/>
      <c r="V86" s="9"/>
      <c r="W86" s="9"/>
      <c r="X86" s="9"/>
      <c r="Y86" s="9"/>
      <c r="Z86" s="9"/>
      <c r="AA86" s="5"/>
      <c r="AB86" s="5"/>
      <c r="AC86" s="5"/>
      <c r="AD86" s="5"/>
      <c r="AE86" s="5"/>
      <c r="AF86" s="5"/>
      <c r="AG86" s="5"/>
      <c r="AH86" s="5"/>
      <c r="AI86" s="42"/>
      <c r="AJ86" s="9">
        <v>1321.7</v>
      </c>
      <c r="AK86" s="9">
        <f t="shared" si="33"/>
        <v>2643.39</v>
      </c>
      <c r="AL86" s="9">
        <f t="shared" si="28"/>
        <v>881.13</v>
      </c>
      <c r="AM86" s="9">
        <f t="shared" si="29"/>
        <v>4846.22</v>
      </c>
      <c r="AN86" s="42">
        <f t="shared" si="30"/>
        <v>24524.829999999998</v>
      </c>
    </row>
    <row r="87" spans="2:40" ht="18" x14ac:dyDescent="0.35">
      <c r="B87" s="10" t="s">
        <v>259</v>
      </c>
      <c r="C87" s="10" t="s">
        <v>260</v>
      </c>
      <c r="D87" s="10"/>
      <c r="E87" s="10" t="s">
        <v>261</v>
      </c>
      <c r="F87" s="10" t="s">
        <v>262</v>
      </c>
      <c r="G87" s="10"/>
      <c r="H87" s="10" t="s">
        <v>78</v>
      </c>
      <c r="I87" s="10" t="s">
        <v>58</v>
      </c>
      <c r="J87" s="10" t="s">
        <v>170</v>
      </c>
      <c r="K87" s="11">
        <v>44245</v>
      </c>
      <c r="L87" s="42">
        <v>25000</v>
      </c>
      <c r="M87" s="9">
        <f t="shared" si="24"/>
        <v>2500</v>
      </c>
      <c r="N87" s="9">
        <f t="shared" si="25"/>
        <v>22500</v>
      </c>
      <c r="O87" s="9">
        <f t="shared" si="26"/>
        <v>2250</v>
      </c>
      <c r="P87" s="27">
        <f>+O87/360*312</f>
        <v>1950</v>
      </c>
      <c r="Q87" s="9">
        <f t="shared" si="32"/>
        <v>1625</v>
      </c>
      <c r="R87" s="27">
        <v>1625</v>
      </c>
      <c r="S87" s="25">
        <v>2250</v>
      </c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34"/>
      <c r="AI87" s="42">
        <v>0</v>
      </c>
      <c r="AJ87" s="27">
        <v>1950</v>
      </c>
      <c r="AK87" s="9">
        <f t="shared" si="33"/>
        <v>2250</v>
      </c>
      <c r="AL87" s="9">
        <f t="shared" si="28"/>
        <v>750</v>
      </c>
      <c r="AM87" s="9">
        <f t="shared" si="29"/>
        <v>4950</v>
      </c>
      <c r="AN87" s="42">
        <f t="shared" si="30"/>
        <v>20050</v>
      </c>
    </row>
    <row r="88" spans="2:40" x14ac:dyDescent="0.3">
      <c r="B88" s="10" t="s">
        <v>263</v>
      </c>
      <c r="C88" s="65" t="s">
        <v>264</v>
      </c>
      <c r="D88" s="66"/>
      <c r="E88" s="10" t="s">
        <v>265</v>
      </c>
      <c r="F88" s="10" t="s">
        <v>266</v>
      </c>
      <c r="G88" s="10"/>
      <c r="H88" s="10" t="s">
        <v>85</v>
      </c>
      <c r="I88" s="10" t="s">
        <v>58</v>
      </c>
      <c r="J88" s="10" t="s">
        <v>170</v>
      </c>
      <c r="K88" s="11">
        <v>44400</v>
      </c>
      <c r="L88" s="42">
        <v>39366.51</v>
      </c>
      <c r="M88" s="9">
        <f t="shared" si="24"/>
        <v>3936.6510000000003</v>
      </c>
      <c r="N88" s="9">
        <f t="shared" si="25"/>
        <v>35429.859000000004</v>
      </c>
      <c r="O88" s="9">
        <f t="shared" si="26"/>
        <v>3542.9859000000006</v>
      </c>
      <c r="P88" s="9">
        <f>+O88/360*157</f>
        <v>1545.1355175000001</v>
      </c>
      <c r="Q88" s="9">
        <f t="shared" si="32"/>
        <v>1287.6129312500002</v>
      </c>
      <c r="R88" s="9">
        <v>1287.6099999999999</v>
      </c>
      <c r="S88" s="9">
        <v>3542.99</v>
      </c>
      <c r="T88" s="9"/>
      <c r="U88" s="9"/>
      <c r="V88" s="9"/>
      <c r="W88" s="9"/>
      <c r="X88" s="9"/>
      <c r="Y88" s="9"/>
      <c r="Z88" s="9"/>
      <c r="AA88" s="5"/>
      <c r="AB88" s="5"/>
      <c r="AC88" s="5"/>
      <c r="AD88" s="5"/>
      <c r="AE88" s="5"/>
      <c r="AF88" s="5"/>
      <c r="AG88" s="5"/>
      <c r="AH88" s="5"/>
      <c r="AI88" s="42"/>
      <c r="AJ88" s="9">
        <v>1545.14</v>
      </c>
      <c r="AK88" s="9">
        <f t="shared" si="33"/>
        <v>3542.99</v>
      </c>
      <c r="AL88" s="9">
        <f t="shared" si="28"/>
        <v>1180.9966666666667</v>
      </c>
      <c r="AM88" s="9">
        <f t="shared" si="29"/>
        <v>6269.126666666667</v>
      </c>
      <c r="AN88" s="42">
        <f t="shared" si="30"/>
        <v>33097.383333333331</v>
      </c>
    </row>
    <row r="89" spans="2:40" ht="18" x14ac:dyDescent="0.35">
      <c r="B89" s="10" t="s">
        <v>267</v>
      </c>
      <c r="C89" s="65" t="s">
        <v>264</v>
      </c>
      <c r="D89" s="66"/>
      <c r="E89" s="10" t="s">
        <v>265</v>
      </c>
      <c r="F89" s="10" t="s">
        <v>268</v>
      </c>
      <c r="G89" s="10"/>
      <c r="H89" s="10" t="s">
        <v>85</v>
      </c>
      <c r="I89" s="10" t="s">
        <v>58</v>
      </c>
      <c r="J89" s="10" t="s">
        <v>170</v>
      </c>
      <c r="K89" s="11">
        <v>44400</v>
      </c>
      <c r="L89" s="42">
        <v>31040.85</v>
      </c>
      <c r="M89" s="9">
        <f t="shared" si="24"/>
        <v>3104.085</v>
      </c>
      <c r="N89" s="9">
        <f t="shared" si="25"/>
        <v>27936.764999999999</v>
      </c>
      <c r="O89" s="9">
        <f t="shared" si="26"/>
        <v>2793.6765</v>
      </c>
      <c r="P89" s="27">
        <f>+O89/360*157</f>
        <v>1218.3533625</v>
      </c>
      <c r="Q89" s="9">
        <f t="shared" si="32"/>
        <v>1015.2944687500001</v>
      </c>
      <c r="R89" s="27">
        <v>1015.29</v>
      </c>
      <c r="S89" s="25">
        <v>2793.68</v>
      </c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34"/>
      <c r="AI89" s="42">
        <v>0</v>
      </c>
      <c r="AJ89" s="27">
        <v>1218.3499999999999</v>
      </c>
      <c r="AK89" s="9">
        <f t="shared" si="33"/>
        <v>2793.68</v>
      </c>
      <c r="AL89" s="9">
        <f t="shared" si="28"/>
        <v>931.22666666666657</v>
      </c>
      <c r="AM89" s="9">
        <f t="shared" si="29"/>
        <v>4943.2566666666662</v>
      </c>
      <c r="AN89" s="42">
        <f t="shared" si="30"/>
        <v>26097.593333333331</v>
      </c>
    </row>
    <row r="90" spans="2:40" ht="18" x14ac:dyDescent="0.35">
      <c r="B90" s="10" t="s">
        <v>269</v>
      </c>
      <c r="C90" s="65" t="s">
        <v>270</v>
      </c>
      <c r="D90" s="66"/>
      <c r="E90" s="10" t="s">
        <v>271</v>
      </c>
      <c r="F90" s="10" t="s">
        <v>272</v>
      </c>
      <c r="G90" s="10" t="s">
        <v>273</v>
      </c>
      <c r="H90" s="10" t="s">
        <v>85</v>
      </c>
      <c r="I90" s="10" t="s">
        <v>58</v>
      </c>
      <c r="J90" s="10" t="s">
        <v>170</v>
      </c>
      <c r="K90" s="11">
        <v>44428</v>
      </c>
      <c r="L90" s="42">
        <v>51995</v>
      </c>
      <c r="M90" s="9">
        <f t="shared" si="24"/>
        <v>5199.5</v>
      </c>
      <c r="N90" s="9">
        <f t="shared" si="25"/>
        <v>46795.5</v>
      </c>
      <c r="O90" s="9">
        <f t="shared" si="26"/>
        <v>4679.55</v>
      </c>
      <c r="P90" s="27">
        <f>+O90/360*157</f>
        <v>2040.8037500000003</v>
      </c>
      <c r="Q90" s="9">
        <f t="shared" si="32"/>
        <v>1700.6697916666669</v>
      </c>
      <c r="R90" s="27">
        <v>1700.67</v>
      </c>
      <c r="S90" s="25">
        <v>4679.55</v>
      </c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34"/>
      <c r="AI90" s="42">
        <v>0</v>
      </c>
      <c r="AJ90" s="27">
        <v>2040.8</v>
      </c>
      <c r="AK90" s="9">
        <f t="shared" si="33"/>
        <v>4679.55</v>
      </c>
      <c r="AL90" s="9">
        <f t="shared" si="28"/>
        <v>1559.8500000000001</v>
      </c>
      <c r="AM90" s="9">
        <f t="shared" si="29"/>
        <v>8280.2000000000007</v>
      </c>
      <c r="AN90" s="42">
        <f t="shared" si="30"/>
        <v>43714.8</v>
      </c>
    </row>
    <row r="91" spans="2:40" ht="18" x14ac:dyDescent="0.35">
      <c r="B91" s="10" t="s">
        <v>274</v>
      </c>
      <c r="C91" s="65" t="s">
        <v>275</v>
      </c>
      <c r="D91" s="66"/>
      <c r="E91" s="10" t="s">
        <v>276</v>
      </c>
      <c r="F91" s="10" t="s">
        <v>277</v>
      </c>
      <c r="G91" s="10" t="s">
        <v>278</v>
      </c>
      <c r="H91" s="10" t="s">
        <v>279</v>
      </c>
      <c r="I91" s="10" t="s">
        <v>58</v>
      </c>
      <c r="J91" s="10" t="s">
        <v>170</v>
      </c>
      <c r="K91" s="11">
        <v>44441</v>
      </c>
      <c r="L91" s="42">
        <v>35000</v>
      </c>
      <c r="M91" s="9">
        <f t="shared" si="24"/>
        <v>3500</v>
      </c>
      <c r="N91" s="9">
        <f t="shared" si="25"/>
        <v>31500</v>
      </c>
      <c r="O91" s="9">
        <f t="shared" si="26"/>
        <v>3150</v>
      </c>
      <c r="P91" s="27">
        <f>+O91/360*157</f>
        <v>1373.75</v>
      </c>
      <c r="Q91" s="9">
        <f t="shared" si="32"/>
        <v>1144.7916666666667</v>
      </c>
      <c r="R91" s="27">
        <v>1144.79</v>
      </c>
      <c r="S91" s="25">
        <v>3150</v>
      </c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34"/>
      <c r="AI91" s="42">
        <v>0</v>
      </c>
      <c r="AJ91" s="27">
        <v>1373.75</v>
      </c>
      <c r="AK91" s="9">
        <f t="shared" si="33"/>
        <v>3150</v>
      </c>
      <c r="AL91" s="9">
        <f t="shared" si="28"/>
        <v>1050</v>
      </c>
      <c r="AM91" s="9">
        <f t="shared" si="29"/>
        <v>5573.75</v>
      </c>
      <c r="AN91" s="42">
        <f t="shared" si="30"/>
        <v>29426.25</v>
      </c>
    </row>
    <row r="92" spans="2:40" ht="18" x14ac:dyDescent="0.35">
      <c r="B92" s="10" t="s">
        <v>280</v>
      </c>
      <c r="C92" s="10" t="s">
        <v>281</v>
      </c>
      <c r="D92" s="10"/>
      <c r="E92" s="10" t="s">
        <v>282</v>
      </c>
      <c r="F92" s="10" t="s">
        <v>283</v>
      </c>
      <c r="G92" s="10" t="s">
        <v>284</v>
      </c>
      <c r="H92" s="10" t="s">
        <v>85</v>
      </c>
      <c r="I92" s="10" t="s">
        <v>58</v>
      </c>
      <c r="J92" s="10" t="s">
        <v>253</v>
      </c>
      <c r="K92" s="11">
        <v>44537</v>
      </c>
      <c r="L92" s="42">
        <v>24850</v>
      </c>
      <c r="M92" s="9">
        <f t="shared" si="24"/>
        <v>2485</v>
      </c>
      <c r="N92" s="9">
        <f t="shared" si="25"/>
        <v>22365</v>
      </c>
      <c r="O92" s="9">
        <f t="shared" si="26"/>
        <v>2236.5</v>
      </c>
      <c r="P92" s="27">
        <f>+O92/365*24</f>
        <v>147.05753424657533</v>
      </c>
      <c r="Q92" s="9">
        <f t="shared" si="32"/>
        <v>122.54794520547945</v>
      </c>
      <c r="R92" s="27">
        <v>122.55</v>
      </c>
      <c r="S92" s="25">
        <v>2236.5</v>
      </c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34"/>
      <c r="AI92" s="42"/>
      <c r="AJ92" s="27">
        <v>147.06</v>
      </c>
      <c r="AK92" s="9">
        <f t="shared" si="33"/>
        <v>2236.5</v>
      </c>
      <c r="AL92" s="9">
        <f t="shared" si="28"/>
        <v>745.5</v>
      </c>
      <c r="AM92" s="9">
        <f t="shared" si="29"/>
        <v>3129.06</v>
      </c>
      <c r="AN92" s="42">
        <f t="shared" si="30"/>
        <v>21720.94</v>
      </c>
    </row>
    <row r="93" spans="2:40" ht="18" x14ac:dyDescent="0.35">
      <c r="B93" s="10" t="s">
        <v>285</v>
      </c>
      <c r="C93" s="69" t="s">
        <v>286</v>
      </c>
      <c r="D93" s="70"/>
      <c r="E93" s="10" t="s">
        <v>287</v>
      </c>
      <c r="F93" s="10" t="s">
        <v>288</v>
      </c>
      <c r="G93" s="10" t="s">
        <v>289</v>
      </c>
      <c r="H93" s="10" t="s">
        <v>57</v>
      </c>
      <c r="I93" s="10" t="s">
        <v>58</v>
      </c>
      <c r="J93" s="50" t="s">
        <v>290</v>
      </c>
      <c r="K93" s="11">
        <v>44476</v>
      </c>
      <c r="L93" s="42">
        <v>29294</v>
      </c>
      <c r="M93" s="9">
        <f t="shared" si="24"/>
        <v>2929.4</v>
      </c>
      <c r="N93" s="9">
        <f t="shared" si="25"/>
        <v>26364.6</v>
      </c>
      <c r="O93" s="9">
        <f t="shared" si="26"/>
        <v>2636.46</v>
      </c>
      <c r="P93" s="27">
        <f>+O93/365*85</f>
        <v>613.97013698630144</v>
      </c>
      <c r="Q93" s="9">
        <f t="shared" si="32"/>
        <v>511.64178082191791</v>
      </c>
      <c r="R93" s="27">
        <v>511.64</v>
      </c>
      <c r="S93" s="25">
        <v>2636.46</v>
      </c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34"/>
      <c r="AI93" s="42"/>
      <c r="AJ93" s="27">
        <v>613.97</v>
      </c>
      <c r="AK93" s="9">
        <f t="shared" si="33"/>
        <v>2636.46</v>
      </c>
      <c r="AL93" s="9">
        <f t="shared" si="28"/>
        <v>878.82</v>
      </c>
      <c r="AM93" s="9">
        <f t="shared" si="29"/>
        <v>4129.25</v>
      </c>
      <c r="AN93" s="42">
        <f t="shared" si="30"/>
        <v>25164.75</v>
      </c>
    </row>
    <row r="94" spans="2:40" ht="18" x14ac:dyDescent="0.35">
      <c r="B94" s="10" t="s">
        <v>291</v>
      </c>
      <c r="C94" s="69" t="s">
        <v>53</v>
      </c>
      <c r="D94" s="70"/>
      <c r="E94" s="10" t="s">
        <v>287</v>
      </c>
      <c r="F94" s="10" t="s">
        <v>292</v>
      </c>
      <c r="G94" s="10" t="s">
        <v>293</v>
      </c>
      <c r="H94" s="10" t="s">
        <v>57</v>
      </c>
      <c r="I94" s="10" t="s">
        <v>58</v>
      </c>
      <c r="J94" s="50" t="s">
        <v>290</v>
      </c>
      <c r="K94" s="11">
        <v>44476</v>
      </c>
      <c r="L94" s="42">
        <v>29294</v>
      </c>
      <c r="M94" s="9">
        <f t="shared" si="24"/>
        <v>2929.4</v>
      </c>
      <c r="N94" s="9">
        <f t="shared" si="25"/>
        <v>26364.6</v>
      </c>
      <c r="O94" s="9">
        <f t="shared" si="26"/>
        <v>2636.46</v>
      </c>
      <c r="P94" s="27">
        <f>+O94/365*85</f>
        <v>613.97013698630144</v>
      </c>
      <c r="Q94" s="9">
        <f t="shared" si="32"/>
        <v>511.64178082191791</v>
      </c>
      <c r="R94" s="27">
        <v>511.64</v>
      </c>
      <c r="S94" s="25">
        <v>2636.46</v>
      </c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34"/>
      <c r="AI94" s="42"/>
      <c r="AJ94" s="27">
        <v>613.97</v>
      </c>
      <c r="AK94" s="9">
        <f t="shared" si="33"/>
        <v>2636.46</v>
      </c>
      <c r="AL94" s="9">
        <f t="shared" si="28"/>
        <v>878.82</v>
      </c>
      <c r="AM94" s="9">
        <f t="shared" si="29"/>
        <v>4129.25</v>
      </c>
      <c r="AN94" s="42">
        <f t="shared" si="30"/>
        <v>25164.75</v>
      </c>
    </row>
    <row r="95" spans="2:40" ht="18" x14ac:dyDescent="0.35">
      <c r="B95" s="10" t="s">
        <v>294</v>
      </c>
      <c r="C95" s="69" t="s">
        <v>53</v>
      </c>
      <c r="D95" s="70"/>
      <c r="E95" s="10" t="s">
        <v>287</v>
      </c>
      <c r="F95" s="10" t="s">
        <v>295</v>
      </c>
      <c r="G95" s="10" t="s">
        <v>296</v>
      </c>
      <c r="H95" s="10" t="s">
        <v>57</v>
      </c>
      <c r="I95" s="10" t="s">
        <v>58</v>
      </c>
      <c r="J95" s="50" t="s">
        <v>290</v>
      </c>
      <c r="K95" s="11">
        <v>44476</v>
      </c>
      <c r="L95" s="42">
        <v>29294</v>
      </c>
      <c r="M95" s="9">
        <f t="shared" si="24"/>
        <v>2929.4</v>
      </c>
      <c r="N95" s="9">
        <f t="shared" si="25"/>
        <v>26364.6</v>
      </c>
      <c r="O95" s="9">
        <f t="shared" si="26"/>
        <v>2636.46</v>
      </c>
      <c r="P95" s="27">
        <f>+O95/365*85</f>
        <v>613.97013698630144</v>
      </c>
      <c r="Q95" s="9">
        <f t="shared" si="32"/>
        <v>511.64178082191791</v>
      </c>
      <c r="R95" s="27">
        <v>511.64</v>
      </c>
      <c r="S95" s="25">
        <v>2636.46</v>
      </c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34"/>
      <c r="AI95" s="42"/>
      <c r="AJ95" s="27">
        <v>613.97</v>
      </c>
      <c r="AK95" s="9">
        <f t="shared" si="33"/>
        <v>2636.46</v>
      </c>
      <c r="AL95" s="9">
        <f t="shared" si="28"/>
        <v>878.82</v>
      </c>
      <c r="AM95" s="9">
        <f t="shared" si="29"/>
        <v>4129.25</v>
      </c>
      <c r="AN95" s="42">
        <f t="shared" si="30"/>
        <v>25164.75</v>
      </c>
    </row>
    <row r="96" spans="2:40" ht="18" x14ac:dyDescent="0.35">
      <c r="B96" s="10" t="s">
        <v>297</v>
      </c>
      <c r="C96" s="10" t="s">
        <v>298</v>
      </c>
      <c r="D96" s="10"/>
      <c r="E96" s="10" t="s">
        <v>287</v>
      </c>
      <c r="F96" s="10"/>
      <c r="G96" s="10"/>
      <c r="H96" s="10" t="s">
        <v>57</v>
      </c>
      <c r="I96" s="10" t="s">
        <v>58</v>
      </c>
      <c r="J96" s="50" t="s">
        <v>290</v>
      </c>
      <c r="K96" s="11">
        <v>44476</v>
      </c>
      <c r="L96" s="42">
        <v>82450</v>
      </c>
      <c r="M96" s="9">
        <f t="shared" si="24"/>
        <v>8245</v>
      </c>
      <c r="N96" s="9">
        <f t="shared" si="25"/>
        <v>74205</v>
      </c>
      <c r="O96" s="9">
        <f t="shared" si="26"/>
        <v>7420.5</v>
      </c>
      <c r="P96" s="27">
        <f>+O96/365*85</f>
        <v>1728.0616438356165</v>
      </c>
      <c r="Q96" s="9">
        <f t="shared" si="32"/>
        <v>1440.0513698630139</v>
      </c>
      <c r="R96" s="27">
        <v>1440.05</v>
      </c>
      <c r="S96" s="25">
        <v>7420.5</v>
      </c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34"/>
      <c r="AI96" s="42"/>
      <c r="AJ96" s="27">
        <v>1728.06</v>
      </c>
      <c r="AK96" s="9">
        <f t="shared" si="33"/>
        <v>7420.5</v>
      </c>
      <c r="AL96" s="9">
        <f t="shared" si="28"/>
        <v>2473.5</v>
      </c>
      <c r="AM96" s="9">
        <f t="shared" si="29"/>
        <v>11622.06</v>
      </c>
      <c r="AN96" s="42">
        <f t="shared" si="30"/>
        <v>70827.94</v>
      </c>
    </row>
    <row r="97" spans="2:40" ht="18" x14ac:dyDescent="0.35">
      <c r="B97" s="10" t="s">
        <v>299</v>
      </c>
      <c r="C97" s="10" t="s">
        <v>300</v>
      </c>
      <c r="D97" s="10"/>
      <c r="E97" s="10" t="s">
        <v>301</v>
      </c>
      <c r="F97" s="10" t="s">
        <v>302</v>
      </c>
      <c r="G97" s="10" t="s">
        <v>303</v>
      </c>
      <c r="H97" s="10" t="s">
        <v>57</v>
      </c>
      <c r="I97" s="10" t="s">
        <v>58</v>
      </c>
      <c r="J97" s="10" t="s">
        <v>170</v>
      </c>
      <c r="K97" s="11">
        <v>44706</v>
      </c>
      <c r="L97" s="42">
        <v>29900</v>
      </c>
      <c r="M97" s="9">
        <f t="shared" si="24"/>
        <v>2990</v>
      </c>
      <c r="N97" s="9">
        <f t="shared" si="25"/>
        <v>26910</v>
      </c>
      <c r="O97" s="9">
        <f t="shared" si="26"/>
        <v>2691</v>
      </c>
      <c r="P97" s="27">
        <f t="shared" ref="P97:P102" si="34">+O97/12</f>
        <v>224.25</v>
      </c>
      <c r="Q97" s="9">
        <f>+O97/12*5.25</f>
        <v>1177.3125</v>
      </c>
      <c r="R97" s="27">
        <v>1177.31</v>
      </c>
      <c r="S97" s="25">
        <v>2691</v>
      </c>
      <c r="T97" s="63">
        <f t="shared" ref="T97:T102" si="35">+S97/12</f>
        <v>224.25</v>
      </c>
      <c r="U97" s="25">
        <v>224.25</v>
      </c>
      <c r="V97" s="25"/>
      <c r="W97" s="25"/>
      <c r="X97" s="25"/>
      <c r="Y97" s="25"/>
      <c r="Z97" s="25"/>
      <c r="AA97" s="25"/>
      <c r="AB97" s="25"/>
      <c r="AC97" s="25"/>
      <c r="AD97" s="25">
        <v>224.25</v>
      </c>
      <c r="AE97" s="63"/>
      <c r="AF97" s="25"/>
      <c r="AG97" s="25"/>
      <c r="AH97" s="34"/>
      <c r="AI97" s="42"/>
      <c r="AJ97" s="27"/>
      <c r="AK97" s="27">
        <v>1177.31</v>
      </c>
      <c r="AL97" s="27">
        <f>224.25*4</f>
        <v>897</v>
      </c>
      <c r="AM97" s="9">
        <f t="shared" si="29"/>
        <v>2298.56</v>
      </c>
      <c r="AN97" s="42">
        <f t="shared" si="30"/>
        <v>27601.439999999999</v>
      </c>
    </row>
    <row r="98" spans="2:40" ht="18" x14ac:dyDescent="0.35">
      <c r="B98" s="10" t="s">
        <v>304</v>
      </c>
      <c r="C98" s="52" t="s">
        <v>281</v>
      </c>
      <c r="D98" s="53"/>
      <c r="E98" s="10" t="s">
        <v>282</v>
      </c>
      <c r="F98" s="10" t="s">
        <v>283</v>
      </c>
      <c r="G98" s="10" t="s">
        <v>305</v>
      </c>
      <c r="H98" s="10" t="s">
        <v>85</v>
      </c>
      <c r="I98" s="10" t="s">
        <v>58</v>
      </c>
      <c r="J98" s="10" t="s">
        <v>306</v>
      </c>
      <c r="K98" s="11">
        <v>44606</v>
      </c>
      <c r="L98" s="42">
        <v>22500</v>
      </c>
      <c r="M98" s="9">
        <f t="shared" si="24"/>
        <v>2250</v>
      </c>
      <c r="N98" s="9">
        <f t="shared" si="25"/>
        <v>20250</v>
      </c>
      <c r="O98" s="9">
        <f t="shared" si="26"/>
        <v>2025</v>
      </c>
      <c r="P98" s="27">
        <f t="shared" si="34"/>
        <v>168.75</v>
      </c>
      <c r="Q98" s="9">
        <f>+O98/12*8.5</f>
        <v>1434.375</v>
      </c>
      <c r="R98" s="27">
        <v>1434.38</v>
      </c>
      <c r="S98" s="25">
        <v>2025</v>
      </c>
      <c r="T98" s="63">
        <f t="shared" si="35"/>
        <v>168.75</v>
      </c>
      <c r="U98" s="25">
        <v>168.75</v>
      </c>
      <c r="V98" s="25"/>
      <c r="W98" s="25"/>
      <c r="X98" s="25"/>
      <c r="Y98" s="25"/>
      <c r="Z98" s="25"/>
      <c r="AA98" s="25"/>
      <c r="AB98" s="25"/>
      <c r="AC98" s="25"/>
      <c r="AD98" s="25">
        <v>168.75</v>
      </c>
      <c r="AE98" s="63"/>
      <c r="AF98" s="25"/>
      <c r="AG98" s="25"/>
      <c r="AH98" s="34"/>
      <c r="AI98" s="42"/>
      <c r="AJ98" s="27"/>
      <c r="AK98" s="27">
        <v>1434.38</v>
      </c>
      <c r="AL98" s="27">
        <f>168.75*4</f>
        <v>675</v>
      </c>
      <c r="AM98" s="9">
        <f t="shared" si="29"/>
        <v>2278.13</v>
      </c>
      <c r="AN98" s="42">
        <f t="shared" si="30"/>
        <v>20221.87</v>
      </c>
    </row>
    <row r="99" spans="2:40" ht="18" x14ac:dyDescent="0.35">
      <c r="B99" s="10" t="s">
        <v>307</v>
      </c>
      <c r="C99" s="69" t="s">
        <v>172</v>
      </c>
      <c r="D99" s="70"/>
      <c r="E99" s="10" t="s">
        <v>107</v>
      </c>
      <c r="F99" s="10" t="s">
        <v>308</v>
      </c>
      <c r="G99" s="10" t="s">
        <v>309</v>
      </c>
      <c r="H99" s="10" t="s">
        <v>85</v>
      </c>
      <c r="I99" s="10" t="s">
        <v>58</v>
      </c>
      <c r="J99" s="15" t="s">
        <v>310</v>
      </c>
      <c r="K99" s="11">
        <v>44573</v>
      </c>
      <c r="L99" s="42">
        <v>58000</v>
      </c>
      <c r="M99" s="9">
        <f t="shared" si="24"/>
        <v>5800</v>
      </c>
      <c r="N99" s="9">
        <f t="shared" si="25"/>
        <v>52200</v>
      </c>
      <c r="O99" s="9">
        <f t="shared" si="26"/>
        <v>5220</v>
      </c>
      <c r="P99" s="27">
        <f t="shared" si="34"/>
        <v>435</v>
      </c>
      <c r="Q99" s="9">
        <f>+O99/12*9.66</f>
        <v>4202.1000000000004</v>
      </c>
      <c r="R99" s="27">
        <v>4202.1000000000004</v>
      </c>
      <c r="S99" s="25">
        <v>5220</v>
      </c>
      <c r="T99" s="63">
        <f t="shared" si="35"/>
        <v>435</v>
      </c>
      <c r="U99" s="25">
        <v>435</v>
      </c>
      <c r="V99" s="25"/>
      <c r="W99" s="25"/>
      <c r="X99" s="25"/>
      <c r="Y99" s="25"/>
      <c r="Z99" s="25"/>
      <c r="AA99" s="25"/>
      <c r="AB99" s="25"/>
      <c r="AC99" s="25"/>
      <c r="AD99" s="25">
        <v>435</v>
      </c>
      <c r="AE99" s="63"/>
      <c r="AF99" s="25"/>
      <c r="AG99" s="25"/>
      <c r="AH99" s="34"/>
      <c r="AI99" s="42"/>
      <c r="AJ99" s="27"/>
      <c r="AK99" s="27">
        <v>4202.1000000000004</v>
      </c>
      <c r="AL99" s="27">
        <f>435*4</f>
        <v>1740</v>
      </c>
      <c r="AM99" s="9">
        <f t="shared" si="29"/>
        <v>6377.1</v>
      </c>
      <c r="AN99" s="42">
        <f t="shared" si="30"/>
        <v>51622.9</v>
      </c>
    </row>
    <row r="100" spans="2:40" ht="18" x14ac:dyDescent="0.35">
      <c r="B100" s="10" t="s">
        <v>311</v>
      </c>
      <c r="C100" s="69" t="s">
        <v>172</v>
      </c>
      <c r="D100" s="70"/>
      <c r="E100" s="10" t="s">
        <v>312</v>
      </c>
      <c r="F100" s="10" t="s">
        <v>313</v>
      </c>
      <c r="G100" s="10" t="s">
        <v>314</v>
      </c>
      <c r="H100" s="10" t="s">
        <v>85</v>
      </c>
      <c r="I100" s="10" t="s">
        <v>58</v>
      </c>
      <c r="J100" s="50" t="s">
        <v>170</v>
      </c>
      <c r="K100" s="11">
        <v>44671</v>
      </c>
      <c r="L100" s="42">
        <v>58000</v>
      </c>
      <c r="M100" s="9">
        <f t="shared" si="24"/>
        <v>5800</v>
      </c>
      <c r="N100" s="9">
        <f t="shared" si="25"/>
        <v>52200</v>
      </c>
      <c r="O100" s="9">
        <f t="shared" si="26"/>
        <v>5220</v>
      </c>
      <c r="P100" s="27">
        <f t="shared" si="34"/>
        <v>435</v>
      </c>
      <c r="Q100" s="9">
        <f>+O100/12*6.33</f>
        <v>2753.55</v>
      </c>
      <c r="R100" s="27">
        <v>2753.55</v>
      </c>
      <c r="S100" s="25">
        <v>5220</v>
      </c>
      <c r="T100" s="63">
        <f t="shared" si="35"/>
        <v>435</v>
      </c>
      <c r="U100" s="25">
        <v>435</v>
      </c>
      <c r="V100" s="25"/>
      <c r="W100" s="25"/>
      <c r="X100" s="25"/>
      <c r="Y100" s="25"/>
      <c r="Z100" s="25"/>
      <c r="AA100" s="25"/>
      <c r="AB100" s="25"/>
      <c r="AC100" s="25"/>
      <c r="AD100" s="25">
        <v>435</v>
      </c>
      <c r="AE100" s="63"/>
      <c r="AF100" s="25"/>
      <c r="AG100" s="25"/>
      <c r="AH100" s="34"/>
      <c r="AI100" s="42"/>
      <c r="AJ100" s="27"/>
      <c r="AK100" s="27">
        <v>2753.55</v>
      </c>
      <c r="AL100" s="27">
        <f>435*4</f>
        <v>1740</v>
      </c>
      <c r="AM100" s="9">
        <f t="shared" si="29"/>
        <v>4928.55</v>
      </c>
      <c r="AN100" s="42">
        <f t="shared" si="30"/>
        <v>53071.45</v>
      </c>
    </row>
    <row r="101" spans="2:40" ht="18" x14ac:dyDescent="0.35">
      <c r="B101" s="10" t="s">
        <v>315</v>
      </c>
      <c r="C101" s="69" t="s">
        <v>172</v>
      </c>
      <c r="D101" s="70"/>
      <c r="E101" s="10" t="s">
        <v>312</v>
      </c>
      <c r="F101" s="10" t="s">
        <v>313</v>
      </c>
      <c r="G101" s="10" t="s">
        <v>316</v>
      </c>
      <c r="H101" s="10" t="s">
        <v>85</v>
      </c>
      <c r="I101" s="10" t="s">
        <v>58</v>
      </c>
      <c r="J101" s="50" t="s">
        <v>170</v>
      </c>
      <c r="K101" s="11">
        <v>44671</v>
      </c>
      <c r="L101" s="42">
        <v>58000</v>
      </c>
      <c r="M101" s="9">
        <f t="shared" si="24"/>
        <v>5800</v>
      </c>
      <c r="N101" s="9">
        <f t="shared" si="25"/>
        <v>52200</v>
      </c>
      <c r="O101" s="9">
        <f t="shared" si="26"/>
        <v>5220</v>
      </c>
      <c r="P101" s="27">
        <f t="shared" si="34"/>
        <v>435</v>
      </c>
      <c r="Q101" s="9">
        <f>+O101/12*6.33</f>
        <v>2753.55</v>
      </c>
      <c r="R101" s="27">
        <v>2753.55</v>
      </c>
      <c r="S101" s="25">
        <v>5220</v>
      </c>
      <c r="T101" s="63">
        <f t="shared" si="35"/>
        <v>435</v>
      </c>
      <c r="U101" s="25">
        <v>435</v>
      </c>
      <c r="V101" s="25"/>
      <c r="W101" s="25"/>
      <c r="X101" s="25"/>
      <c r="Y101" s="25"/>
      <c r="Z101" s="25"/>
      <c r="AA101" s="25"/>
      <c r="AB101" s="25"/>
      <c r="AC101" s="25"/>
      <c r="AD101" s="25">
        <v>435</v>
      </c>
      <c r="AE101" s="63"/>
      <c r="AF101" s="25"/>
      <c r="AG101" s="25"/>
      <c r="AH101" s="34"/>
      <c r="AI101" s="42"/>
      <c r="AJ101" s="27"/>
      <c r="AK101" s="27">
        <v>2753.55</v>
      </c>
      <c r="AL101" s="27">
        <f>435*4</f>
        <v>1740</v>
      </c>
      <c r="AM101" s="9">
        <f t="shared" si="29"/>
        <v>4928.55</v>
      </c>
      <c r="AN101" s="42">
        <f t="shared" si="30"/>
        <v>53071.45</v>
      </c>
    </row>
    <row r="102" spans="2:40" ht="18" x14ac:dyDescent="0.35">
      <c r="B102" s="10" t="s">
        <v>317</v>
      </c>
      <c r="C102" s="10" t="s">
        <v>318</v>
      </c>
      <c r="D102" s="10"/>
      <c r="E102" s="10" t="s">
        <v>319</v>
      </c>
      <c r="F102" s="10" t="s">
        <v>320</v>
      </c>
      <c r="G102" s="10" t="s">
        <v>321</v>
      </c>
      <c r="H102" s="10" t="s">
        <v>85</v>
      </c>
      <c r="I102" s="10" t="s">
        <v>58</v>
      </c>
      <c r="J102" s="15" t="s">
        <v>310</v>
      </c>
      <c r="K102" s="11">
        <v>44573</v>
      </c>
      <c r="L102" s="42">
        <v>35248</v>
      </c>
      <c r="M102" s="9">
        <f t="shared" si="24"/>
        <v>3524.8</v>
      </c>
      <c r="N102" s="9">
        <f t="shared" si="25"/>
        <v>31723.200000000001</v>
      </c>
      <c r="O102" s="9">
        <f t="shared" si="26"/>
        <v>3172.32</v>
      </c>
      <c r="P102" s="27">
        <f t="shared" si="34"/>
        <v>264.36</v>
      </c>
      <c r="Q102" s="9">
        <f>+O102/12*9.33</f>
        <v>2466.4788000000003</v>
      </c>
      <c r="R102" s="27">
        <v>2466.48</v>
      </c>
      <c r="S102" s="25">
        <v>3172.32</v>
      </c>
      <c r="T102" s="63">
        <f t="shared" si="35"/>
        <v>264.36</v>
      </c>
      <c r="U102" s="25">
        <v>264.36</v>
      </c>
      <c r="V102" s="25"/>
      <c r="W102" s="25"/>
      <c r="X102" s="25"/>
      <c r="Y102" s="25"/>
      <c r="Z102" s="25"/>
      <c r="AA102" s="25"/>
      <c r="AB102" s="25"/>
      <c r="AC102" s="25"/>
      <c r="AD102" s="25">
        <v>264.36</v>
      </c>
      <c r="AE102" s="63"/>
      <c r="AF102" s="25"/>
      <c r="AG102" s="25"/>
      <c r="AH102" s="34"/>
      <c r="AI102" s="42"/>
      <c r="AJ102" s="27"/>
      <c r="AK102" s="27">
        <v>2466.48</v>
      </c>
      <c r="AL102" s="27">
        <f>264.36*4</f>
        <v>1057.44</v>
      </c>
      <c r="AM102" s="9">
        <f>SUM(AC102:AL102)</f>
        <v>3788.28</v>
      </c>
      <c r="AN102" s="42">
        <f t="shared" si="30"/>
        <v>31459.72</v>
      </c>
    </row>
    <row r="103" spans="2:40" ht="15.6" x14ac:dyDescent="0.3">
      <c r="B103" s="37"/>
      <c r="C103" s="37"/>
      <c r="D103" s="37"/>
      <c r="E103" s="15"/>
      <c r="F103" s="15"/>
      <c r="G103" s="15"/>
      <c r="H103" s="37"/>
      <c r="I103" s="37"/>
      <c r="J103" s="37"/>
      <c r="K103" s="37"/>
      <c r="L103" s="51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8"/>
      <c r="AJ103" s="38"/>
      <c r="AK103" s="38"/>
      <c r="AL103" s="38"/>
      <c r="AM103" s="38"/>
      <c r="AN103" s="38"/>
    </row>
    <row r="104" spans="2:40" x14ac:dyDescent="0.3">
      <c r="G104" s="67"/>
      <c r="H104" s="67"/>
      <c r="I104" s="67"/>
      <c r="J104" s="67"/>
      <c r="K104" s="67"/>
      <c r="L104" s="40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2:40" x14ac:dyDescent="0.3">
      <c r="G105" s="64"/>
      <c r="H105" s="64"/>
      <c r="I105" s="64"/>
      <c r="J105" s="64"/>
      <c r="K105" s="64"/>
      <c r="L105" s="40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2:40" x14ac:dyDescent="0.3">
      <c r="G106" s="64"/>
      <c r="H106" s="64"/>
      <c r="I106" s="64"/>
      <c r="J106" s="64"/>
      <c r="K106" s="64"/>
      <c r="L106" s="40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2:40" x14ac:dyDescent="0.3">
      <c r="G107" s="64"/>
      <c r="H107" s="64"/>
      <c r="I107" s="64"/>
      <c r="J107" s="64"/>
      <c r="K107" s="64"/>
      <c r="L107" s="40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2:40" x14ac:dyDescent="0.3">
      <c r="G108" s="64"/>
      <c r="H108" s="64"/>
      <c r="I108" s="64"/>
      <c r="J108" s="64"/>
      <c r="K108" s="64"/>
      <c r="L108" s="40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2:40" x14ac:dyDescent="0.3">
      <c r="G109" s="64"/>
      <c r="H109" s="64"/>
      <c r="I109" s="64"/>
      <c r="J109" s="64"/>
      <c r="K109" s="64"/>
      <c r="L109" s="40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2:40" x14ac:dyDescent="0.3">
      <c r="F110" s="55"/>
      <c r="AM110" s="43"/>
    </row>
    <row r="112" spans="2:40" x14ac:dyDescent="0.3">
      <c r="B112" s="1" t="s">
        <v>0</v>
      </c>
      <c r="C112" s="1" t="s">
        <v>1</v>
      </c>
      <c r="D112" s="1" t="s">
        <v>2</v>
      </c>
      <c r="E112" s="1" t="s">
        <v>3</v>
      </c>
      <c r="F112" s="1" t="s">
        <v>4</v>
      </c>
      <c r="G112" s="1" t="s">
        <v>5</v>
      </c>
      <c r="H112" s="1" t="s">
        <v>6</v>
      </c>
      <c r="I112" s="1" t="s">
        <v>7</v>
      </c>
      <c r="J112" s="1" t="s">
        <v>8</v>
      </c>
      <c r="K112" s="1" t="s">
        <v>9</v>
      </c>
      <c r="L112" s="1" t="s">
        <v>10</v>
      </c>
      <c r="M112" s="1" t="s">
        <v>11</v>
      </c>
      <c r="N112" s="1" t="s">
        <v>12</v>
      </c>
      <c r="O112" s="1" t="s">
        <v>13</v>
      </c>
      <c r="P112" s="1" t="s">
        <v>14</v>
      </c>
      <c r="Q112" s="1" t="s">
        <v>15</v>
      </c>
      <c r="R112" s="1" t="s">
        <v>16</v>
      </c>
      <c r="S112" s="1" t="s">
        <v>17</v>
      </c>
      <c r="T112" s="1" t="s">
        <v>18</v>
      </c>
      <c r="U112" s="1" t="s">
        <v>19</v>
      </c>
      <c r="V112" s="1" t="s">
        <v>20</v>
      </c>
      <c r="W112" s="1" t="s">
        <v>21</v>
      </c>
      <c r="X112" s="1" t="s">
        <v>22</v>
      </c>
      <c r="Y112" s="1" t="s">
        <v>23</v>
      </c>
      <c r="Z112" s="1" t="s">
        <v>24</v>
      </c>
      <c r="AA112" s="1" t="s">
        <v>25</v>
      </c>
      <c r="AB112" s="1" t="s">
        <v>26</v>
      </c>
      <c r="AC112" s="1" t="s">
        <v>27</v>
      </c>
      <c r="AD112" s="1" t="s">
        <v>28</v>
      </c>
      <c r="AE112" s="1" t="s">
        <v>29</v>
      </c>
      <c r="AF112" s="1" t="s">
        <v>30</v>
      </c>
      <c r="AG112" s="1" t="s">
        <v>31</v>
      </c>
      <c r="AH112" s="1" t="s">
        <v>32</v>
      </c>
      <c r="AI112" s="1" t="s">
        <v>33</v>
      </c>
      <c r="AJ112" s="1" t="s">
        <v>34</v>
      </c>
      <c r="AK112" s="1" t="s">
        <v>35</v>
      </c>
      <c r="AL112" s="1" t="s">
        <v>36</v>
      </c>
      <c r="AM112" s="1" t="s">
        <v>37</v>
      </c>
      <c r="AN112" s="1" t="s">
        <v>38</v>
      </c>
    </row>
    <row r="113" spans="2:40" x14ac:dyDescent="0.3">
      <c r="B113" s="10" t="s">
        <v>322</v>
      </c>
      <c r="C113" s="10" t="s">
        <v>323</v>
      </c>
      <c r="D113" s="53"/>
      <c r="E113" s="10" t="s">
        <v>324</v>
      </c>
      <c r="F113" s="57" t="s">
        <v>325</v>
      </c>
      <c r="G113" s="10" t="s">
        <v>326</v>
      </c>
      <c r="H113" s="10" t="s">
        <v>85</v>
      </c>
      <c r="I113" s="10" t="s">
        <v>58</v>
      </c>
      <c r="J113" s="10" t="s">
        <v>327</v>
      </c>
      <c r="K113" s="11">
        <v>44714</v>
      </c>
      <c r="L113" s="56">
        <v>21800</v>
      </c>
      <c r="M113" s="9">
        <f t="shared" ref="M113:M131" si="36">+L113*0.1</f>
        <v>2180</v>
      </c>
      <c r="N113" s="9">
        <f t="shared" ref="N113:N131" si="37">+L113-M113</f>
        <v>19620</v>
      </c>
      <c r="O113" s="9">
        <f t="shared" ref="O113:O131" si="38">+N113/10</f>
        <v>1962</v>
      </c>
      <c r="P113" s="9">
        <f>+O113/365*128</f>
        <v>688.0438356164384</v>
      </c>
      <c r="Q113" s="9">
        <v>688.04</v>
      </c>
      <c r="R113" s="9">
        <v>1962</v>
      </c>
      <c r="S113" s="9">
        <f>+O113/12</f>
        <v>163.5</v>
      </c>
      <c r="T113" s="9"/>
      <c r="U113" s="9">
        <v>163.5</v>
      </c>
      <c r="V113" s="9"/>
      <c r="W113" s="9"/>
      <c r="X113" s="9"/>
      <c r="Y113" s="9"/>
      <c r="Z113" s="9"/>
      <c r="AA113" s="5"/>
      <c r="AB113" s="5"/>
      <c r="AC113" s="5"/>
      <c r="AD113" s="9">
        <v>163.5</v>
      </c>
      <c r="AE113" s="5"/>
      <c r="AF113" s="5"/>
      <c r="AG113" s="5"/>
      <c r="AH113" s="5"/>
      <c r="AI113" s="42"/>
      <c r="AJ113" s="9"/>
      <c r="AK113" s="9">
        <v>688.04</v>
      </c>
      <c r="AL113" s="9">
        <f>163.5*4</f>
        <v>654</v>
      </c>
      <c r="AM113" s="9">
        <f t="shared" ref="AM113:AM133" si="39">SUM(AD113:AL113)</f>
        <v>1505.54</v>
      </c>
      <c r="AN113" s="42">
        <f t="shared" ref="AN113:AN131" si="40">+L113-AM113</f>
        <v>20294.46</v>
      </c>
    </row>
    <row r="114" spans="2:40" x14ac:dyDescent="0.3">
      <c r="B114" s="10" t="s">
        <v>328</v>
      </c>
      <c r="C114" s="10" t="s">
        <v>323</v>
      </c>
      <c r="D114" s="53"/>
      <c r="E114" s="10" t="s">
        <v>324</v>
      </c>
      <c r="F114" s="57" t="s">
        <v>329</v>
      </c>
      <c r="G114" s="10" t="s">
        <v>330</v>
      </c>
      <c r="H114" s="10" t="s">
        <v>85</v>
      </c>
      <c r="I114" s="10" t="s">
        <v>58</v>
      </c>
      <c r="J114" s="10" t="s">
        <v>327</v>
      </c>
      <c r="K114" s="11">
        <v>44714</v>
      </c>
      <c r="L114" s="56">
        <v>21800</v>
      </c>
      <c r="M114" s="9">
        <f t="shared" si="36"/>
        <v>2180</v>
      </c>
      <c r="N114" s="9">
        <f t="shared" si="37"/>
        <v>19620</v>
      </c>
      <c r="O114" s="9">
        <f t="shared" si="38"/>
        <v>1962</v>
      </c>
      <c r="P114" s="9">
        <f t="shared" ref="P114:P131" si="41">+O114/365*128</f>
        <v>688.0438356164384</v>
      </c>
      <c r="Q114" s="9">
        <v>688.04</v>
      </c>
      <c r="R114" s="9">
        <v>1962</v>
      </c>
      <c r="S114" s="9">
        <f t="shared" ref="S114:S135" si="42">+O114/12</f>
        <v>163.5</v>
      </c>
      <c r="T114" s="9"/>
      <c r="U114" s="9">
        <v>163.5</v>
      </c>
      <c r="V114" s="9"/>
      <c r="W114" s="9"/>
      <c r="X114" s="9"/>
      <c r="Y114" s="9"/>
      <c r="Z114" s="9"/>
      <c r="AA114" s="5"/>
      <c r="AB114" s="5"/>
      <c r="AC114" s="5"/>
      <c r="AD114" s="9">
        <v>163.5</v>
      </c>
      <c r="AE114" s="5"/>
      <c r="AF114" s="5"/>
      <c r="AG114" s="5"/>
      <c r="AH114" s="5"/>
      <c r="AI114" s="42"/>
      <c r="AJ114" s="9"/>
      <c r="AK114" s="9">
        <v>688.04</v>
      </c>
      <c r="AL114" s="9">
        <f t="shared" ref="AL114:AL132" si="43">163.5*4</f>
        <v>654</v>
      </c>
      <c r="AM114" s="9">
        <f t="shared" si="39"/>
        <v>1505.54</v>
      </c>
      <c r="AN114" s="42">
        <f t="shared" si="40"/>
        <v>20294.46</v>
      </c>
    </row>
    <row r="115" spans="2:40" x14ac:dyDescent="0.3">
      <c r="B115" s="10" t="s">
        <v>331</v>
      </c>
      <c r="C115" s="10" t="s">
        <v>323</v>
      </c>
      <c r="D115" s="53"/>
      <c r="E115" s="10" t="s">
        <v>324</v>
      </c>
      <c r="F115" s="57" t="s">
        <v>329</v>
      </c>
      <c r="G115" s="10" t="s">
        <v>332</v>
      </c>
      <c r="H115" s="10" t="s">
        <v>85</v>
      </c>
      <c r="I115" s="10" t="s">
        <v>58</v>
      </c>
      <c r="J115" s="10" t="s">
        <v>327</v>
      </c>
      <c r="K115" s="11">
        <v>44714</v>
      </c>
      <c r="L115" s="56">
        <v>21800</v>
      </c>
      <c r="M115" s="9">
        <f t="shared" si="36"/>
        <v>2180</v>
      </c>
      <c r="N115" s="9">
        <f t="shared" si="37"/>
        <v>19620</v>
      </c>
      <c r="O115" s="9">
        <f t="shared" si="38"/>
        <v>1962</v>
      </c>
      <c r="P115" s="9">
        <f t="shared" si="41"/>
        <v>688.0438356164384</v>
      </c>
      <c r="Q115" s="9">
        <v>688.04</v>
      </c>
      <c r="R115" s="9">
        <v>1962</v>
      </c>
      <c r="S115" s="9">
        <f t="shared" si="42"/>
        <v>163.5</v>
      </c>
      <c r="T115" s="9"/>
      <c r="U115" s="9">
        <v>163.5</v>
      </c>
      <c r="V115" s="9"/>
      <c r="W115" s="9"/>
      <c r="X115" s="9"/>
      <c r="Y115" s="9"/>
      <c r="Z115" s="9"/>
      <c r="AA115" s="5"/>
      <c r="AB115" s="5"/>
      <c r="AC115" s="5"/>
      <c r="AD115" s="9">
        <v>163.5</v>
      </c>
      <c r="AE115" s="5"/>
      <c r="AF115" s="5"/>
      <c r="AG115" s="5"/>
      <c r="AH115" s="5"/>
      <c r="AI115" s="42"/>
      <c r="AJ115" s="9"/>
      <c r="AK115" s="9">
        <v>688.04</v>
      </c>
      <c r="AL115" s="9">
        <f t="shared" si="43"/>
        <v>654</v>
      </c>
      <c r="AM115" s="9">
        <f t="shared" si="39"/>
        <v>1505.54</v>
      </c>
      <c r="AN115" s="42">
        <f t="shared" si="40"/>
        <v>20294.46</v>
      </c>
    </row>
    <row r="116" spans="2:40" x14ac:dyDescent="0.3">
      <c r="B116" s="10" t="s">
        <v>333</v>
      </c>
      <c r="C116" s="10" t="s">
        <v>323</v>
      </c>
      <c r="D116" s="53"/>
      <c r="E116" s="10" t="s">
        <v>324</v>
      </c>
      <c r="F116" s="57" t="s">
        <v>329</v>
      </c>
      <c r="G116" s="10" t="s">
        <v>334</v>
      </c>
      <c r="H116" s="10" t="s">
        <v>85</v>
      </c>
      <c r="I116" s="10" t="s">
        <v>58</v>
      </c>
      <c r="J116" s="10" t="s">
        <v>327</v>
      </c>
      <c r="K116" s="11">
        <v>44714</v>
      </c>
      <c r="L116" s="56">
        <v>21800</v>
      </c>
      <c r="M116" s="9">
        <f t="shared" si="36"/>
        <v>2180</v>
      </c>
      <c r="N116" s="9">
        <f t="shared" si="37"/>
        <v>19620</v>
      </c>
      <c r="O116" s="9">
        <f t="shared" si="38"/>
        <v>1962</v>
      </c>
      <c r="P116" s="9">
        <f t="shared" si="41"/>
        <v>688.0438356164384</v>
      </c>
      <c r="Q116" s="9">
        <v>688.04</v>
      </c>
      <c r="R116" s="9">
        <v>1962</v>
      </c>
      <c r="S116" s="9">
        <f t="shared" si="42"/>
        <v>163.5</v>
      </c>
      <c r="T116" s="9"/>
      <c r="U116" s="9">
        <v>163.5</v>
      </c>
      <c r="V116" s="9"/>
      <c r="W116" s="9"/>
      <c r="X116" s="9"/>
      <c r="Y116" s="9"/>
      <c r="Z116" s="9"/>
      <c r="AA116" s="5"/>
      <c r="AB116" s="5"/>
      <c r="AC116" s="5"/>
      <c r="AD116" s="9">
        <v>163.5</v>
      </c>
      <c r="AE116" s="5"/>
      <c r="AF116" s="5"/>
      <c r="AG116" s="5"/>
      <c r="AH116" s="5"/>
      <c r="AI116" s="42"/>
      <c r="AJ116" s="9"/>
      <c r="AK116" s="9">
        <v>688.04</v>
      </c>
      <c r="AL116" s="9">
        <f t="shared" si="43"/>
        <v>654</v>
      </c>
      <c r="AM116" s="9">
        <f t="shared" si="39"/>
        <v>1505.54</v>
      </c>
      <c r="AN116" s="42">
        <f t="shared" si="40"/>
        <v>20294.46</v>
      </c>
    </row>
    <row r="117" spans="2:40" x14ac:dyDescent="0.3">
      <c r="B117" s="10" t="s">
        <v>335</v>
      </c>
      <c r="C117" s="10" t="s">
        <v>323</v>
      </c>
      <c r="D117" s="53"/>
      <c r="E117" s="10" t="s">
        <v>324</v>
      </c>
      <c r="F117" s="57" t="s">
        <v>329</v>
      </c>
      <c r="G117" s="10" t="s">
        <v>336</v>
      </c>
      <c r="H117" s="10" t="s">
        <v>85</v>
      </c>
      <c r="I117" s="10" t="s">
        <v>58</v>
      </c>
      <c r="J117" s="10" t="s">
        <v>327</v>
      </c>
      <c r="K117" s="11">
        <v>44714</v>
      </c>
      <c r="L117" s="56">
        <v>21800</v>
      </c>
      <c r="M117" s="9">
        <f t="shared" si="36"/>
        <v>2180</v>
      </c>
      <c r="N117" s="9">
        <f t="shared" si="37"/>
        <v>19620</v>
      </c>
      <c r="O117" s="9">
        <f t="shared" si="38"/>
        <v>1962</v>
      </c>
      <c r="P117" s="9">
        <f t="shared" si="41"/>
        <v>688.0438356164384</v>
      </c>
      <c r="Q117" s="9">
        <v>688.04</v>
      </c>
      <c r="R117" s="9">
        <v>1962</v>
      </c>
      <c r="S117" s="9">
        <f t="shared" si="42"/>
        <v>163.5</v>
      </c>
      <c r="T117" s="9"/>
      <c r="U117" s="9">
        <v>163.5</v>
      </c>
      <c r="V117" s="9"/>
      <c r="W117" s="9"/>
      <c r="X117" s="9"/>
      <c r="Y117" s="9"/>
      <c r="Z117" s="9"/>
      <c r="AA117" s="5"/>
      <c r="AB117" s="5"/>
      <c r="AC117" s="5"/>
      <c r="AD117" s="9">
        <v>163.5</v>
      </c>
      <c r="AE117" s="5"/>
      <c r="AF117" s="5"/>
      <c r="AG117" s="5"/>
      <c r="AH117" s="5"/>
      <c r="AI117" s="42"/>
      <c r="AJ117" s="9"/>
      <c r="AK117" s="9">
        <v>688.04</v>
      </c>
      <c r="AL117" s="9">
        <f t="shared" si="43"/>
        <v>654</v>
      </c>
      <c r="AM117" s="9">
        <f t="shared" si="39"/>
        <v>1505.54</v>
      </c>
      <c r="AN117" s="42">
        <f t="shared" si="40"/>
        <v>20294.46</v>
      </c>
    </row>
    <row r="118" spans="2:40" x14ac:dyDescent="0.3">
      <c r="B118" s="10" t="s">
        <v>337</v>
      </c>
      <c r="C118" s="10" t="s">
        <v>323</v>
      </c>
      <c r="D118" s="53"/>
      <c r="E118" s="10" t="s">
        <v>324</v>
      </c>
      <c r="F118" s="57" t="s">
        <v>329</v>
      </c>
      <c r="G118" s="10" t="s">
        <v>338</v>
      </c>
      <c r="H118" s="10" t="s">
        <v>85</v>
      </c>
      <c r="I118" s="10" t="s">
        <v>58</v>
      </c>
      <c r="J118" s="10" t="s">
        <v>327</v>
      </c>
      <c r="K118" s="11">
        <v>44714</v>
      </c>
      <c r="L118" s="56">
        <v>21800</v>
      </c>
      <c r="M118" s="9">
        <f t="shared" si="36"/>
        <v>2180</v>
      </c>
      <c r="N118" s="9">
        <f t="shared" si="37"/>
        <v>19620</v>
      </c>
      <c r="O118" s="9">
        <f t="shared" si="38"/>
        <v>1962</v>
      </c>
      <c r="P118" s="9">
        <f t="shared" si="41"/>
        <v>688.0438356164384</v>
      </c>
      <c r="Q118" s="9">
        <v>688.04</v>
      </c>
      <c r="R118" s="9">
        <v>1962</v>
      </c>
      <c r="S118" s="9">
        <f t="shared" si="42"/>
        <v>163.5</v>
      </c>
      <c r="T118" s="9"/>
      <c r="U118" s="9">
        <v>163.5</v>
      </c>
      <c r="V118" s="9"/>
      <c r="W118" s="9"/>
      <c r="X118" s="9"/>
      <c r="Y118" s="9"/>
      <c r="Z118" s="9"/>
      <c r="AA118" s="5"/>
      <c r="AB118" s="5"/>
      <c r="AC118" s="5"/>
      <c r="AD118" s="9">
        <v>163.5</v>
      </c>
      <c r="AE118" s="5"/>
      <c r="AF118" s="5"/>
      <c r="AG118" s="5"/>
      <c r="AH118" s="5"/>
      <c r="AI118" s="42"/>
      <c r="AJ118" s="9"/>
      <c r="AK118" s="9">
        <v>688.04</v>
      </c>
      <c r="AL118" s="9">
        <f t="shared" si="43"/>
        <v>654</v>
      </c>
      <c r="AM118" s="9">
        <f t="shared" si="39"/>
        <v>1505.54</v>
      </c>
      <c r="AN118" s="42">
        <f t="shared" si="40"/>
        <v>20294.46</v>
      </c>
    </row>
    <row r="119" spans="2:40" x14ac:dyDescent="0.3">
      <c r="B119" s="10" t="s">
        <v>339</v>
      </c>
      <c r="C119" s="10" t="s">
        <v>323</v>
      </c>
      <c r="D119" s="53"/>
      <c r="E119" s="10" t="s">
        <v>324</v>
      </c>
      <c r="F119" s="57" t="s">
        <v>329</v>
      </c>
      <c r="G119" s="10" t="s">
        <v>340</v>
      </c>
      <c r="H119" s="10" t="s">
        <v>85</v>
      </c>
      <c r="I119" s="10" t="s">
        <v>58</v>
      </c>
      <c r="J119" s="10" t="s">
        <v>327</v>
      </c>
      <c r="K119" s="11">
        <v>44714</v>
      </c>
      <c r="L119" s="56">
        <v>21800</v>
      </c>
      <c r="M119" s="9">
        <f t="shared" si="36"/>
        <v>2180</v>
      </c>
      <c r="N119" s="9">
        <f t="shared" si="37"/>
        <v>19620</v>
      </c>
      <c r="O119" s="9">
        <f t="shared" si="38"/>
        <v>1962</v>
      </c>
      <c r="P119" s="9">
        <f t="shared" si="41"/>
        <v>688.0438356164384</v>
      </c>
      <c r="Q119" s="9">
        <v>688.04</v>
      </c>
      <c r="R119" s="9">
        <v>1962</v>
      </c>
      <c r="S119" s="9">
        <f t="shared" si="42"/>
        <v>163.5</v>
      </c>
      <c r="T119" s="9"/>
      <c r="U119" s="9">
        <v>163.5</v>
      </c>
      <c r="V119" s="9"/>
      <c r="W119" s="9"/>
      <c r="X119" s="9"/>
      <c r="Y119" s="9"/>
      <c r="Z119" s="9"/>
      <c r="AA119" s="5"/>
      <c r="AB119" s="5"/>
      <c r="AC119" s="5"/>
      <c r="AD119" s="9">
        <v>163.5</v>
      </c>
      <c r="AE119" s="5"/>
      <c r="AF119" s="5"/>
      <c r="AG119" s="5"/>
      <c r="AH119" s="5"/>
      <c r="AI119" s="42"/>
      <c r="AJ119" s="9"/>
      <c r="AK119" s="9">
        <v>688.04</v>
      </c>
      <c r="AL119" s="9">
        <f t="shared" si="43"/>
        <v>654</v>
      </c>
      <c r="AM119" s="9">
        <f t="shared" si="39"/>
        <v>1505.54</v>
      </c>
      <c r="AN119" s="42">
        <f t="shared" si="40"/>
        <v>20294.46</v>
      </c>
    </row>
    <row r="120" spans="2:40" x14ac:dyDescent="0.3">
      <c r="B120" s="10" t="s">
        <v>341</v>
      </c>
      <c r="C120" s="10" t="s">
        <v>323</v>
      </c>
      <c r="D120" s="66"/>
      <c r="E120" s="10" t="s">
        <v>324</v>
      </c>
      <c r="F120" s="57" t="s">
        <v>329</v>
      </c>
      <c r="G120" s="10" t="s">
        <v>342</v>
      </c>
      <c r="H120" s="10" t="s">
        <v>85</v>
      </c>
      <c r="I120" s="10" t="s">
        <v>58</v>
      </c>
      <c r="J120" s="10" t="s">
        <v>327</v>
      </c>
      <c r="K120" s="11">
        <v>44714</v>
      </c>
      <c r="L120" s="56">
        <v>21800</v>
      </c>
      <c r="M120" s="9">
        <f t="shared" si="36"/>
        <v>2180</v>
      </c>
      <c r="N120" s="9">
        <f t="shared" si="37"/>
        <v>19620</v>
      </c>
      <c r="O120" s="9">
        <f t="shared" si="38"/>
        <v>1962</v>
      </c>
      <c r="P120" s="9">
        <f t="shared" si="41"/>
        <v>688.0438356164384</v>
      </c>
      <c r="Q120" s="9">
        <v>688.04</v>
      </c>
      <c r="R120" s="9">
        <v>1962</v>
      </c>
      <c r="S120" s="9">
        <f t="shared" si="42"/>
        <v>163.5</v>
      </c>
      <c r="T120" s="9"/>
      <c r="U120" s="9">
        <v>163.5</v>
      </c>
      <c r="V120" s="9"/>
      <c r="W120" s="9"/>
      <c r="X120" s="9"/>
      <c r="Y120" s="9"/>
      <c r="Z120" s="9"/>
      <c r="AA120" s="5"/>
      <c r="AB120" s="5"/>
      <c r="AC120" s="5"/>
      <c r="AD120" s="9">
        <v>163.5</v>
      </c>
      <c r="AE120" s="5"/>
      <c r="AF120" s="5"/>
      <c r="AG120" s="5"/>
      <c r="AH120" s="5"/>
      <c r="AI120" s="42"/>
      <c r="AJ120" s="9"/>
      <c r="AK120" s="9">
        <v>688.04</v>
      </c>
      <c r="AL120" s="9">
        <f t="shared" si="43"/>
        <v>654</v>
      </c>
      <c r="AM120" s="9">
        <f t="shared" si="39"/>
        <v>1505.54</v>
      </c>
      <c r="AN120" s="42">
        <f t="shared" si="40"/>
        <v>20294.46</v>
      </c>
    </row>
    <row r="121" spans="2:40" x14ac:dyDescent="0.3">
      <c r="B121" s="10" t="s">
        <v>343</v>
      </c>
      <c r="C121" s="10" t="s">
        <v>323</v>
      </c>
      <c r="D121" s="66"/>
      <c r="E121" s="10" t="s">
        <v>324</v>
      </c>
      <c r="F121" s="57" t="s">
        <v>329</v>
      </c>
      <c r="G121" s="10" t="s">
        <v>344</v>
      </c>
      <c r="H121" s="10" t="s">
        <v>85</v>
      </c>
      <c r="I121" s="10" t="s">
        <v>58</v>
      </c>
      <c r="J121" s="10" t="s">
        <v>327</v>
      </c>
      <c r="K121" s="11">
        <v>44714</v>
      </c>
      <c r="L121" s="56">
        <v>21800</v>
      </c>
      <c r="M121" s="9">
        <f t="shared" si="36"/>
        <v>2180</v>
      </c>
      <c r="N121" s="9">
        <f t="shared" si="37"/>
        <v>19620</v>
      </c>
      <c r="O121" s="9">
        <f t="shared" si="38"/>
        <v>1962</v>
      </c>
      <c r="P121" s="9">
        <f t="shared" si="41"/>
        <v>688.0438356164384</v>
      </c>
      <c r="Q121" s="9">
        <v>688.04</v>
      </c>
      <c r="R121" s="9">
        <v>1962</v>
      </c>
      <c r="S121" s="9">
        <f t="shared" si="42"/>
        <v>163.5</v>
      </c>
      <c r="T121" s="9"/>
      <c r="U121" s="9">
        <v>163.5</v>
      </c>
      <c r="V121" s="9"/>
      <c r="W121" s="9"/>
      <c r="X121" s="9"/>
      <c r="Y121" s="9"/>
      <c r="Z121" s="9"/>
      <c r="AA121" s="5"/>
      <c r="AB121" s="5"/>
      <c r="AC121" s="5"/>
      <c r="AD121" s="9">
        <v>163.5</v>
      </c>
      <c r="AE121" s="5"/>
      <c r="AF121" s="5"/>
      <c r="AG121" s="5"/>
      <c r="AH121" s="5"/>
      <c r="AI121" s="42"/>
      <c r="AJ121" s="9"/>
      <c r="AK121" s="9">
        <v>688.04</v>
      </c>
      <c r="AL121" s="9">
        <f t="shared" si="43"/>
        <v>654</v>
      </c>
      <c r="AM121" s="9">
        <f t="shared" si="39"/>
        <v>1505.54</v>
      </c>
      <c r="AN121" s="42">
        <f t="shared" si="40"/>
        <v>20294.46</v>
      </c>
    </row>
    <row r="122" spans="2:40" x14ac:dyDescent="0.3">
      <c r="B122" s="10" t="s">
        <v>345</v>
      </c>
      <c r="C122" s="10" t="s">
        <v>323</v>
      </c>
      <c r="D122" s="66"/>
      <c r="E122" s="10" t="s">
        <v>324</v>
      </c>
      <c r="F122" s="57" t="s">
        <v>329</v>
      </c>
      <c r="G122" s="10" t="s">
        <v>346</v>
      </c>
      <c r="H122" s="10" t="s">
        <v>85</v>
      </c>
      <c r="I122" s="10" t="s">
        <v>58</v>
      </c>
      <c r="J122" s="10" t="s">
        <v>327</v>
      </c>
      <c r="K122" s="11">
        <v>44714</v>
      </c>
      <c r="L122" s="56">
        <v>21800</v>
      </c>
      <c r="M122" s="9">
        <f t="shared" si="36"/>
        <v>2180</v>
      </c>
      <c r="N122" s="9">
        <f t="shared" si="37"/>
        <v>19620</v>
      </c>
      <c r="O122" s="9">
        <f t="shared" si="38"/>
        <v>1962</v>
      </c>
      <c r="P122" s="9">
        <f t="shared" si="41"/>
        <v>688.0438356164384</v>
      </c>
      <c r="Q122" s="9">
        <v>688.04</v>
      </c>
      <c r="R122" s="9">
        <v>1962</v>
      </c>
      <c r="S122" s="9">
        <f t="shared" si="42"/>
        <v>163.5</v>
      </c>
      <c r="T122" s="9"/>
      <c r="U122" s="9">
        <v>163.5</v>
      </c>
      <c r="V122" s="9"/>
      <c r="W122" s="9"/>
      <c r="X122" s="9"/>
      <c r="Y122" s="9"/>
      <c r="Z122" s="9"/>
      <c r="AA122" s="5"/>
      <c r="AB122" s="5"/>
      <c r="AC122" s="5"/>
      <c r="AD122" s="9">
        <v>163.5</v>
      </c>
      <c r="AE122" s="5"/>
      <c r="AF122" s="5"/>
      <c r="AG122" s="5"/>
      <c r="AH122" s="5"/>
      <c r="AI122" s="42"/>
      <c r="AJ122" s="9"/>
      <c r="AK122" s="9">
        <v>688.04</v>
      </c>
      <c r="AL122" s="9">
        <f t="shared" si="43"/>
        <v>654</v>
      </c>
      <c r="AM122" s="9">
        <f t="shared" si="39"/>
        <v>1505.54</v>
      </c>
      <c r="AN122" s="42">
        <f t="shared" si="40"/>
        <v>20294.46</v>
      </c>
    </row>
    <row r="123" spans="2:40" x14ac:dyDescent="0.3">
      <c r="B123" s="10" t="s">
        <v>347</v>
      </c>
      <c r="C123" s="10" t="s">
        <v>323</v>
      </c>
      <c r="D123" s="66"/>
      <c r="E123" s="10" t="s">
        <v>324</v>
      </c>
      <c r="F123" s="57" t="s">
        <v>329</v>
      </c>
      <c r="G123" s="10" t="s">
        <v>348</v>
      </c>
      <c r="H123" s="10" t="s">
        <v>85</v>
      </c>
      <c r="I123" s="10" t="s">
        <v>58</v>
      </c>
      <c r="J123" s="10" t="s">
        <v>327</v>
      </c>
      <c r="K123" s="11">
        <v>44714</v>
      </c>
      <c r="L123" s="56">
        <v>21800</v>
      </c>
      <c r="M123" s="9">
        <f t="shared" si="36"/>
        <v>2180</v>
      </c>
      <c r="N123" s="9">
        <f t="shared" si="37"/>
        <v>19620</v>
      </c>
      <c r="O123" s="9">
        <f t="shared" si="38"/>
        <v>1962</v>
      </c>
      <c r="P123" s="9">
        <f t="shared" si="41"/>
        <v>688.0438356164384</v>
      </c>
      <c r="Q123" s="9">
        <v>688.04</v>
      </c>
      <c r="R123" s="9">
        <v>1962</v>
      </c>
      <c r="S123" s="9">
        <f t="shared" si="42"/>
        <v>163.5</v>
      </c>
      <c r="T123" s="9"/>
      <c r="U123" s="9">
        <v>163.5</v>
      </c>
      <c r="V123" s="9"/>
      <c r="W123" s="9"/>
      <c r="X123" s="9"/>
      <c r="Y123" s="9"/>
      <c r="Z123" s="9"/>
      <c r="AA123" s="5"/>
      <c r="AB123" s="5"/>
      <c r="AC123" s="5"/>
      <c r="AD123" s="9">
        <v>163.5</v>
      </c>
      <c r="AE123" s="5"/>
      <c r="AF123" s="5"/>
      <c r="AG123" s="5"/>
      <c r="AH123" s="5"/>
      <c r="AI123" s="42"/>
      <c r="AJ123" s="9"/>
      <c r="AK123" s="9">
        <v>688.04</v>
      </c>
      <c r="AL123" s="9">
        <f t="shared" si="43"/>
        <v>654</v>
      </c>
      <c r="AM123" s="9">
        <f t="shared" si="39"/>
        <v>1505.54</v>
      </c>
      <c r="AN123" s="42">
        <f t="shared" si="40"/>
        <v>20294.46</v>
      </c>
    </row>
    <row r="124" spans="2:40" x14ac:dyDescent="0.3">
      <c r="B124" s="10" t="s">
        <v>349</v>
      </c>
      <c r="C124" s="10" t="s">
        <v>323</v>
      </c>
      <c r="D124" s="53"/>
      <c r="E124" s="10" t="s">
        <v>324</v>
      </c>
      <c r="F124" s="57" t="s">
        <v>329</v>
      </c>
      <c r="G124" s="10" t="s">
        <v>350</v>
      </c>
      <c r="H124" s="10" t="s">
        <v>85</v>
      </c>
      <c r="I124" s="10" t="s">
        <v>58</v>
      </c>
      <c r="J124" s="10" t="s">
        <v>327</v>
      </c>
      <c r="K124" s="11">
        <v>44714</v>
      </c>
      <c r="L124" s="56">
        <v>21800</v>
      </c>
      <c r="M124" s="9">
        <f t="shared" si="36"/>
        <v>2180</v>
      </c>
      <c r="N124" s="9">
        <f t="shared" si="37"/>
        <v>19620</v>
      </c>
      <c r="O124" s="9">
        <f t="shared" si="38"/>
        <v>1962</v>
      </c>
      <c r="P124" s="9">
        <f t="shared" si="41"/>
        <v>688.0438356164384</v>
      </c>
      <c r="Q124" s="9">
        <v>688.04</v>
      </c>
      <c r="R124" s="9">
        <v>1962</v>
      </c>
      <c r="S124" s="9">
        <f t="shared" si="42"/>
        <v>163.5</v>
      </c>
      <c r="T124" s="9"/>
      <c r="U124" s="9">
        <v>163.5</v>
      </c>
      <c r="V124" s="9"/>
      <c r="W124" s="9"/>
      <c r="X124" s="9"/>
      <c r="Y124" s="9"/>
      <c r="Z124" s="9"/>
      <c r="AA124" s="5"/>
      <c r="AB124" s="5"/>
      <c r="AC124" s="5"/>
      <c r="AD124" s="9">
        <v>163.5</v>
      </c>
      <c r="AE124" s="5"/>
      <c r="AF124" s="5"/>
      <c r="AG124" s="5"/>
      <c r="AH124" s="5"/>
      <c r="AI124" s="42"/>
      <c r="AJ124" s="9"/>
      <c r="AK124" s="9">
        <v>688.04</v>
      </c>
      <c r="AL124" s="9">
        <f t="shared" si="43"/>
        <v>654</v>
      </c>
      <c r="AM124" s="9">
        <f t="shared" si="39"/>
        <v>1505.54</v>
      </c>
      <c r="AN124" s="42">
        <f t="shared" si="40"/>
        <v>20294.46</v>
      </c>
    </row>
    <row r="125" spans="2:40" x14ac:dyDescent="0.3">
      <c r="B125" s="10" t="s">
        <v>351</v>
      </c>
      <c r="C125" s="10" t="s">
        <v>323</v>
      </c>
      <c r="D125" s="53"/>
      <c r="E125" s="10" t="s">
        <v>324</v>
      </c>
      <c r="F125" s="57" t="s">
        <v>329</v>
      </c>
      <c r="G125" s="10" t="s">
        <v>352</v>
      </c>
      <c r="H125" s="10" t="s">
        <v>85</v>
      </c>
      <c r="I125" s="10" t="s">
        <v>58</v>
      </c>
      <c r="J125" s="10" t="s">
        <v>327</v>
      </c>
      <c r="K125" s="11">
        <v>44714</v>
      </c>
      <c r="L125" s="56">
        <v>21800</v>
      </c>
      <c r="M125" s="9">
        <f t="shared" si="36"/>
        <v>2180</v>
      </c>
      <c r="N125" s="9">
        <f t="shared" si="37"/>
        <v>19620</v>
      </c>
      <c r="O125" s="9">
        <f t="shared" si="38"/>
        <v>1962</v>
      </c>
      <c r="P125" s="9">
        <f t="shared" si="41"/>
        <v>688.0438356164384</v>
      </c>
      <c r="Q125" s="9">
        <v>688.04</v>
      </c>
      <c r="R125" s="9">
        <v>1962</v>
      </c>
      <c r="S125" s="9">
        <f t="shared" si="42"/>
        <v>163.5</v>
      </c>
      <c r="T125" s="9"/>
      <c r="U125" s="9">
        <v>163.5</v>
      </c>
      <c r="V125" s="9"/>
      <c r="W125" s="9"/>
      <c r="X125" s="9"/>
      <c r="Y125" s="9"/>
      <c r="Z125" s="9"/>
      <c r="AA125" s="5"/>
      <c r="AB125" s="5"/>
      <c r="AC125" s="5"/>
      <c r="AD125" s="9">
        <v>163.5</v>
      </c>
      <c r="AE125" s="5"/>
      <c r="AF125" s="5"/>
      <c r="AG125" s="5"/>
      <c r="AH125" s="5"/>
      <c r="AI125" s="42"/>
      <c r="AJ125" s="9"/>
      <c r="AK125" s="9">
        <v>688.04</v>
      </c>
      <c r="AL125" s="9">
        <f t="shared" si="43"/>
        <v>654</v>
      </c>
      <c r="AM125" s="9">
        <f t="shared" si="39"/>
        <v>1505.54</v>
      </c>
      <c r="AN125" s="42">
        <f t="shared" si="40"/>
        <v>20294.46</v>
      </c>
    </row>
    <row r="126" spans="2:40" x14ac:dyDescent="0.3">
      <c r="B126" s="10" t="s">
        <v>353</v>
      </c>
      <c r="C126" s="10" t="s">
        <v>323</v>
      </c>
      <c r="D126" s="66"/>
      <c r="E126" s="10" t="s">
        <v>324</v>
      </c>
      <c r="F126" s="57" t="s">
        <v>329</v>
      </c>
      <c r="G126" s="10" t="s">
        <v>354</v>
      </c>
      <c r="H126" s="10" t="s">
        <v>85</v>
      </c>
      <c r="I126" s="10" t="s">
        <v>58</v>
      </c>
      <c r="J126" s="10" t="s">
        <v>327</v>
      </c>
      <c r="K126" s="11">
        <v>44714</v>
      </c>
      <c r="L126" s="56">
        <v>21800</v>
      </c>
      <c r="M126" s="9">
        <f t="shared" si="36"/>
        <v>2180</v>
      </c>
      <c r="N126" s="9">
        <f t="shared" si="37"/>
        <v>19620</v>
      </c>
      <c r="O126" s="9">
        <f t="shared" si="38"/>
        <v>1962</v>
      </c>
      <c r="P126" s="9">
        <f t="shared" si="41"/>
        <v>688.0438356164384</v>
      </c>
      <c r="Q126" s="9">
        <v>688.04</v>
      </c>
      <c r="R126" s="9">
        <v>1962</v>
      </c>
      <c r="S126" s="9">
        <f t="shared" si="42"/>
        <v>163.5</v>
      </c>
      <c r="T126" s="9"/>
      <c r="U126" s="9">
        <v>163.5</v>
      </c>
      <c r="V126" s="9"/>
      <c r="W126" s="9"/>
      <c r="X126" s="9"/>
      <c r="Y126" s="9"/>
      <c r="Z126" s="9"/>
      <c r="AA126" s="5"/>
      <c r="AB126" s="5"/>
      <c r="AC126" s="5"/>
      <c r="AD126" s="9">
        <v>163.5</v>
      </c>
      <c r="AE126" s="5"/>
      <c r="AF126" s="5"/>
      <c r="AG126" s="5"/>
      <c r="AH126" s="5"/>
      <c r="AI126" s="42"/>
      <c r="AJ126" s="9"/>
      <c r="AK126" s="9">
        <v>688.04</v>
      </c>
      <c r="AL126" s="9">
        <f t="shared" si="43"/>
        <v>654</v>
      </c>
      <c r="AM126" s="9">
        <f t="shared" si="39"/>
        <v>1505.54</v>
      </c>
      <c r="AN126" s="42">
        <f t="shared" si="40"/>
        <v>20294.46</v>
      </c>
    </row>
    <row r="127" spans="2:40" ht="18" x14ac:dyDescent="0.35">
      <c r="B127" s="10" t="s">
        <v>355</v>
      </c>
      <c r="C127" s="10" t="s">
        <v>323</v>
      </c>
      <c r="D127" s="53"/>
      <c r="E127" s="10" t="s">
        <v>324</v>
      </c>
      <c r="F127" s="57" t="s">
        <v>329</v>
      </c>
      <c r="G127" s="10" t="s">
        <v>356</v>
      </c>
      <c r="H127" s="10" t="s">
        <v>85</v>
      </c>
      <c r="I127" s="10" t="s">
        <v>58</v>
      </c>
      <c r="J127" s="10" t="s">
        <v>327</v>
      </c>
      <c r="K127" s="11">
        <v>44714</v>
      </c>
      <c r="L127" s="56">
        <v>21800</v>
      </c>
      <c r="M127" s="9">
        <f t="shared" si="36"/>
        <v>2180</v>
      </c>
      <c r="N127" s="9">
        <f t="shared" si="37"/>
        <v>19620</v>
      </c>
      <c r="O127" s="9">
        <f t="shared" si="38"/>
        <v>1962</v>
      </c>
      <c r="P127" s="9">
        <f t="shared" si="41"/>
        <v>688.0438356164384</v>
      </c>
      <c r="Q127" s="9">
        <v>688.04</v>
      </c>
      <c r="R127" s="27">
        <v>1962</v>
      </c>
      <c r="S127" s="9">
        <f t="shared" si="42"/>
        <v>163.5</v>
      </c>
      <c r="T127" s="25"/>
      <c r="U127" s="9">
        <v>163.5</v>
      </c>
      <c r="V127" s="25"/>
      <c r="W127" s="25"/>
      <c r="X127" s="25"/>
      <c r="Y127" s="25"/>
      <c r="Z127" s="25"/>
      <c r="AA127" s="25"/>
      <c r="AB127" s="25"/>
      <c r="AC127" s="25"/>
      <c r="AD127" s="9">
        <v>163.5</v>
      </c>
      <c r="AE127" s="25"/>
      <c r="AF127" s="25"/>
      <c r="AG127" s="25"/>
      <c r="AH127" s="34"/>
      <c r="AI127" s="42"/>
      <c r="AJ127" s="27"/>
      <c r="AK127" s="9">
        <v>688.04</v>
      </c>
      <c r="AL127" s="9">
        <f t="shared" si="43"/>
        <v>654</v>
      </c>
      <c r="AM127" s="9">
        <f t="shared" si="39"/>
        <v>1505.54</v>
      </c>
      <c r="AN127" s="42">
        <f t="shared" si="40"/>
        <v>20294.46</v>
      </c>
    </row>
    <row r="128" spans="2:40" x14ac:dyDescent="0.3">
      <c r="B128" s="10" t="s">
        <v>357</v>
      </c>
      <c r="C128" s="10" t="s">
        <v>323</v>
      </c>
      <c r="D128" s="66"/>
      <c r="E128" s="10" t="s">
        <v>324</v>
      </c>
      <c r="F128" s="57" t="s">
        <v>329</v>
      </c>
      <c r="G128" s="10" t="s">
        <v>358</v>
      </c>
      <c r="H128" s="10" t="s">
        <v>85</v>
      </c>
      <c r="I128" s="10" t="s">
        <v>58</v>
      </c>
      <c r="J128" s="10" t="s">
        <v>327</v>
      </c>
      <c r="K128" s="11">
        <v>44714</v>
      </c>
      <c r="L128" s="56">
        <v>21800</v>
      </c>
      <c r="M128" s="9">
        <f t="shared" si="36"/>
        <v>2180</v>
      </c>
      <c r="N128" s="9">
        <f t="shared" si="37"/>
        <v>19620</v>
      </c>
      <c r="O128" s="9">
        <f t="shared" si="38"/>
        <v>1962</v>
      </c>
      <c r="P128" s="9">
        <f t="shared" si="41"/>
        <v>688.0438356164384</v>
      </c>
      <c r="Q128" s="9">
        <v>688.04</v>
      </c>
      <c r="R128" s="9">
        <v>1962</v>
      </c>
      <c r="S128" s="9">
        <f t="shared" si="42"/>
        <v>163.5</v>
      </c>
      <c r="T128" s="9"/>
      <c r="U128" s="9">
        <v>163.5</v>
      </c>
      <c r="V128" s="9"/>
      <c r="W128" s="9"/>
      <c r="X128" s="9"/>
      <c r="Y128" s="9"/>
      <c r="Z128" s="9"/>
      <c r="AA128" s="5"/>
      <c r="AB128" s="5"/>
      <c r="AC128" s="5"/>
      <c r="AD128" s="9">
        <v>163.5</v>
      </c>
      <c r="AE128" s="5"/>
      <c r="AF128" s="5"/>
      <c r="AG128" s="5"/>
      <c r="AH128" s="5"/>
      <c r="AI128" s="42"/>
      <c r="AJ128" s="9"/>
      <c r="AK128" s="9">
        <v>688.04</v>
      </c>
      <c r="AL128" s="9">
        <f t="shared" si="43"/>
        <v>654</v>
      </c>
      <c r="AM128" s="9">
        <f t="shared" si="39"/>
        <v>1505.54</v>
      </c>
      <c r="AN128" s="42">
        <f t="shared" si="40"/>
        <v>20294.46</v>
      </c>
    </row>
    <row r="129" spans="2:40" ht="18" x14ac:dyDescent="0.35">
      <c r="B129" s="10" t="s">
        <v>359</v>
      </c>
      <c r="C129" s="10" t="s">
        <v>323</v>
      </c>
      <c r="D129" s="66"/>
      <c r="E129" s="10" t="s">
        <v>324</v>
      </c>
      <c r="F129" s="57" t="s">
        <v>329</v>
      </c>
      <c r="G129" s="10" t="s">
        <v>360</v>
      </c>
      <c r="H129" s="10" t="s">
        <v>85</v>
      </c>
      <c r="I129" s="10" t="s">
        <v>58</v>
      </c>
      <c r="J129" s="10" t="s">
        <v>327</v>
      </c>
      <c r="K129" s="11">
        <v>44714</v>
      </c>
      <c r="L129" s="56">
        <v>21800</v>
      </c>
      <c r="M129" s="9">
        <f t="shared" si="36"/>
        <v>2180</v>
      </c>
      <c r="N129" s="9">
        <f t="shared" si="37"/>
        <v>19620</v>
      </c>
      <c r="O129" s="9">
        <f t="shared" si="38"/>
        <v>1962</v>
      </c>
      <c r="P129" s="9">
        <f t="shared" si="41"/>
        <v>688.0438356164384</v>
      </c>
      <c r="Q129" s="9">
        <v>688.04</v>
      </c>
      <c r="R129" s="27">
        <v>1962</v>
      </c>
      <c r="S129" s="9">
        <f t="shared" si="42"/>
        <v>163.5</v>
      </c>
      <c r="T129" s="25"/>
      <c r="U129" s="9">
        <v>163.5</v>
      </c>
      <c r="V129" s="25"/>
      <c r="W129" s="25"/>
      <c r="X129" s="25"/>
      <c r="Y129" s="25"/>
      <c r="Z129" s="25"/>
      <c r="AA129" s="25"/>
      <c r="AB129" s="25"/>
      <c r="AC129" s="25"/>
      <c r="AD129" s="9">
        <v>163.5</v>
      </c>
      <c r="AE129" s="25"/>
      <c r="AF129" s="25"/>
      <c r="AG129" s="25"/>
      <c r="AH129" s="34"/>
      <c r="AI129" s="42"/>
      <c r="AJ129" s="27"/>
      <c r="AK129" s="9">
        <v>688.04</v>
      </c>
      <c r="AL129" s="9">
        <f t="shared" si="43"/>
        <v>654</v>
      </c>
      <c r="AM129" s="9">
        <f t="shared" si="39"/>
        <v>1505.54</v>
      </c>
      <c r="AN129" s="42">
        <f t="shared" si="40"/>
        <v>20294.46</v>
      </c>
    </row>
    <row r="130" spans="2:40" ht="18" x14ac:dyDescent="0.35">
      <c r="B130" s="10" t="s">
        <v>361</v>
      </c>
      <c r="C130" s="10" t="s">
        <v>323</v>
      </c>
      <c r="D130" s="66"/>
      <c r="E130" s="10" t="s">
        <v>324</v>
      </c>
      <c r="F130" s="57" t="s">
        <v>329</v>
      </c>
      <c r="G130" s="10" t="s">
        <v>362</v>
      </c>
      <c r="H130" s="10" t="s">
        <v>85</v>
      </c>
      <c r="I130" s="10" t="s">
        <v>58</v>
      </c>
      <c r="J130" s="10" t="s">
        <v>327</v>
      </c>
      <c r="K130" s="11">
        <v>44714</v>
      </c>
      <c r="L130" s="56">
        <v>21800</v>
      </c>
      <c r="M130" s="9">
        <f t="shared" si="36"/>
        <v>2180</v>
      </c>
      <c r="N130" s="9">
        <f t="shared" si="37"/>
        <v>19620</v>
      </c>
      <c r="O130" s="9">
        <f t="shared" si="38"/>
        <v>1962</v>
      </c>
      <c r="P130" s="9">
        <f t="shared" si="41"/>
        <v>688.0438356164384</v>
      </c>
      <c r="Q130" s="9">
        <v>688.04</v>
      </c>
      <c r="R130" s="27">
        <v>1962</v>
      </c>
      <c r="S130" s="9">
        <f t="shared" si="42"/>
        <v>163.5</v>
      </c>
      <c r="T130" s="25"/>
      <c r="U130" s="9">
        <v>163.5</v>
      </c>
      <c r="V130" s="25"/>
      <c r="W130" s="25"/>
      <c r="X130" s="25"/>
      <c r="Y130" s="25"/>
      <c r="Z130" s="25"/>
      <c r="AA130" s="25"/>
      <c r="AB130" s="25"/>
      <c r="AC130" s="25"/>
      <c r="AD130" s="9">
        <v>163.5</v>
      </c>
      <c r="AE130" s="25"/>
      <c r="AF130" s="25"/>
      <c r="AG130" s="25"/>
      <c r="AH130" s="34"/>
      <c r="AI130" s="42"/>
      <c r="AJ130" s="27"/>
      <c r="AK130" s="9">
        <v>688.04</v>
      </c>
      <c r="AL130" s="9">
        <f t="shared" si="43"/>
        <v>654</v>
      </c>
      <c r="AM130" s="9">
        <f t="shared" si="39"/>
        <v>1505.54</v>
      </c>
      <c r="AN130" s="42">
        <f t="shared" si="40"/>
        <v>20294.46</v>
      </c>
    </row>
    <row r="131" spans="2:40" ht="18" x14ac:dyDescent="0.35">
      <c r="B131" s="10" t="s">
        <v>363</v>
      </c>
      <c r="C131" s="10" t="s">
        <v>323</v>
      </c>
      <c r="D131" s="66"/>
      <c r="E131" s="10" t="s">
        <v>324</v>
      </c>
      <c r="F131" s="57" t="s">
        <v>329</v>
      </c>
      <c r="G131" s="10" t="s">
        <v>364</v>
      </c>
      <c r="H131" s="10" t="s">
        <v>85</v>
      </c>
      <c r="I131" s="10" t="s">
        <v>58</v>
      </c>
      <c r="J131" s="10" t="s">
        <v>327</v>
      </c>
      <c r="K131" s="11">
        <v>44714</v>
      </c>
      <c r="L131" s="56">
        <v>21800</v>
      </c>
      <c r="M131" s="9">
        <f t="shared" si="36"/>
        <v>2180</v>
      </c>
      <c r="N131" s="9">
        <f t="shared" si="37"/>
        <v>19620</v>
      </c>
      <c r="O131" s="9">
        <f t="shared" si="38"/>
        <v>1962</v>
      </c>
      <c r="P131" s="9">
        <f t="shared" si="41"/>
        <v>688.0438356164384</v>
      </c>
      <c r="Q131" s="9">
        <v>688.04</v>
      </c>
      <c r="R131" s="27">
        <v>1962</v>
      </c>
      <c r="S131" s="9">
        <f t="shared" si="42"/>
        <v>163.5</v>
      </c>
      <c r="T131" s="25"/>
      <c r="U131" s="9">
        <v>163.5</v>
      </c>
      <c r="V131" s="25"/>
      <c r="W131" s="25"/>
      <c r="X131" s="25"/>
      <c r="Y131" s="25"/>
      <c r="Z131" s="25"/>
      <c r="AA131" s="25"/>
      <c r="AB131" s="25"/>
      <c r="AC131" s="25"/>
      <c r="AD131" s="9">
        <v>163.5</v>
      </c>
      <c r="AE131" s="25"/>
      <c r="AF131" s="25"/>
      <c r="AG131" s="25"/>
      <c r="AH131" s="34"/>
      <c r="AI131" s="42"/>
      <c r="AJ131" s="27"/>
      <c r="AK131" s="9">
        <v>688.04</v>
      </c>
      <c r="AL131" s="9">
        <f t="shared" si="43"/>
        <v>654</v>
      </c>
      <c r="AM131" s="9">
        <f t="shared" si="39"/>
        <v>1505.54</v>
      </c>
      <c r="AN131" s="42">
        <f t="shared" si="40"/>
        <v>20294.46</v>
      </c>
    </row>
    <row r="132" spans="2:40" ht="18" x14ac:dyDescent="0.35">
      <c r="B132" s="10" t="s">
        <v>365</v>
      </c>
      <c r="C132" s="10" t="s">
        <v>323</v>
      </c>
      <c r="D132" s="53"/>
      <c r="E132" s="10" t="s">
        <v>324</v>
      </c>
      <c r="F132" s="57" t="s">
        <v>329</v>
      </c>
      <c r="G132" s="10" t="s">
        <v>366</v>
      </c>
      <c r="H132" s="10" t="s">
        <v>85</v>
      </c>
      <c r="I132" s="10" t="s">
        <v>58</v>
      </c>
      <c r="J132" s="10" t="s">
        <v>327</v>
      </c>
      <c r="K132" s="11">
        <v>44714</v>
      </c>
      <c r="L132" s="56">
        <v>21800</v>
      </c>
      <c r="M132" s="9">
        <f>+L132*0.1</f>
        <v>2180</v>
      </c>
      <c r="N132" s="9">
        <f>+L132-M132</f>
        <v>19620</v>
      </c>
      <c r="O132" s="9">
        <f>+N132/10</f>
        <v>1962</v>
      </c>
      <c r="P132" s="9">
        <f>+O132/365*128</f>
        <v>688.0438356164384</v>
      </c>
      <c r="Q132" s="9">
        <v>688.04</v>
      </c>
      <c r="R132" s="27">
        <v>1962</v>
      </c>
      <c r="S132" s="9">
        <f t="shared" si="42"/>
        <v>163.5</v>
      </c>
      <c r="T132" s="25"/>
      <c r="U132" s="9">
        <v>163.5</v>
      </c>
      <c r="V132" s="25"/>
      <c r="W132" s="25"/>
      <c r="X132" s="25"/>
      <c r="Y132" s="25"/>
      <c r="Z132" s="25"/>
      <c r="AA132" s="25"/>
      <c r="AB132" s="25"/>
      <c r="AC132" s="25"/>
      <c r="AD132" s="9">
        <v>163.5</v>
      </c>
      <c r="AE132" s="25"/>
      <c r="AF132" s="25"/>
      <c r="AG132" s="25"/>
      <c r="AH132" s="34"/>
      <c r="AI132" s="42"/>
      <c r="AJ132" s="27"/>
      <c r="AK132" s="9">
        <v>688.04</v>
      </c>
      <c r="AL132" s="9">
        <f t="shared" si="43"/>
        <v>654</v>
      </c>
      <c r="AM132" s="9">
        <f t="shared" si="39"/>
        <v>1505.54</v>
      </c>
      <c r="AN132" s="42">
        <f>+L132-AM132</f>
        <v>20294.46</v>
      </c>
    </row>
    <row r="133" spans="2:40" ht="18" x14ac:dyDescent="0.35">
      <c r="B133" s="10" t="s">
        <v>367</v>
      </c>
      <c r="C133" s="10" t="s">
        <v>368</v>
      </c>
      <c r="D133" s="62"/>
      <c r="E133" s="10" t="s">
        <v>369</v>
      </c>
      <c r="F133" s="10" t="s">
        <v>370</v>
      </c>
      <c r="G133" s="10" t="s">
        <v>371</v>
      </c>
      <c r="H133" s="10" t="s">
        <v>85</v>
      </c>
      <c r="I133" s="10" t="s">
        <v>58</v>
      </c>
      <c r="J133" s="10" t="s">
        <v>170</v>
      </c>
      <c r="K133" s="11">
        <v>44841</v>
      </c>
      <c r="L133" s="56">
        <v>25360</v>
      </c>
      <c r="M133" s="9">
        <f>+L133*0.1</f>
        <v>2536</v>
      </c>
      <c r="N133" s="9">
        <f>+L133-M133</f>
        <v>22824</v>
      </c>
      <c r="O133" s="9">
        <f>+N133/10</f>
        <v>2282.4</v>
      </c>
      <c r="P133" s="9">
        <f>+O133/365*83</f>
        <v>519.01150684931508</v>
      </c>
      <c r="Q133" s="9">
        <v>2282.4</v>
      </c>
      <c r="R133" s="27">
        <v>519.01</v>
      </c>
      <c r="S133" s="9">
        <f t="shared" si="42"/>
        <v>190.20000000000002</v>
      </c>
      <c r="T133" s="25"/>
      <c r="U133" s="25">
        <v>190.2</v>
      </c>
      <c r="V133" s="25"/>
      <c r="W133" s="25"/>
      <c r="X133" s="25"/>
      <c r="Y133" s="25"/>
      <c r="Z133" s="25"/>
      <c r="AA133" s="25"/>
      <c r="AB133" s="25"/>
      <c r="AC133" s="25"/>
      <c r="AD133" s="25">
        <v>190.2</v>
      </c>
      <c r="AE133" s="25"/>
      <c r="AF133" s="25"/>
      <c r="AG133" s="25"/>
      <c r="AH133" s="34"/>
      <c r="AI133" s="42"/>
      <c r="AJ133" s="27"/>
      <c r="AK133" s="27">
        <v>519.01</v>
      </c>
      <c r="AL133" s="9">
        <f>190.2*4</f>
        <v>760.8</v>
      </c>
      <c r="AM133" s="9">
        <f t="shared" si="39"/>
        <v>1470.01</v>
      </c>
      <c r="AN133" s="42">
        <f>+L133-AM133</f>
        <v>23889.99</v>
      </c>
    </row>
    <row r="134" spans="2:40" ht="18" x14ac:dyDescent="0.35">
      <c r="B134" s="10" t="s">
        <v>372</v>
      </c>
      <c r="C134" s="10" t="s">
        <v>373</v>
      </c>
      <c r="D134" s="62"/>
      <c r="E134" s="10" t="s">
        <v>374</v>
      </c>
      <c r="F134" s="10" t="s">
        <v>375</v>
      </c>
      <c r="G134" s="10" t="s">
        <v>376</v>
      </c>
      <c r="H134" s="10" t="s">
        <v>85</v>
      </c>
      <c r="I134" s="10" t="s">
        <v>58</v>
      </c>
      <c r="J134" s="10" t="s">
        <v>377</v>
      </c>
      <c r="K134" s="11">
        <v>44888</v>
      </c>
      <c r="L134" s="56">
        <v>70000</v>
      </c>
      <c r="M134" s="9">
        <f>+L134*0.1</f>
        <v>7000</v>
      </c>
      <c r="N134" s="9">
        <f>+L134-M134</f>
        <v>63000</v>
      </c>
      <c r="O134" s="9">
        <f>+N134/10</f>
        <v>6300</v>
      </c>
      <c r="P134" s="9">
        <f>+O134/360*37</f>
        <v>647.5</v>
      </c>
      <c r="Q134" s="9">
        <v>6300</v>
      </c>
      <c r="R134" s="27">
        <v>647.5</v>
      </c>
      <c r="S134" s="9">
        <f t="shared" si="42"/>
        <v>525</v>
      </c>
      <c r="T134" s="25"/>
      <c r="U134" s="25">
        <v>525</v>
      </c>
      <c r="V134" s="25"/>
      <c r="W134" s="25"/>
      <c r="X134" s="25"/>
      <c r="Y134" s="25"/>
      <c r="Z134" s="25"/>
      <c r="AA134" s="25"/>
      <c r="AB134" s="25"/>
      <c r="AC134" s="25"/>
      <c r="AD134" s="25">
        <v>525</v>
      </c>
      <c r="AE134" s="25"/>
      <c r="AF134" s="25"/>
      <c r="AG134" s="25"/>
      <c r="AH134" s="34"/>
      <c r="AI134" s="42"/>
      <c r="AJ134" s="27"/>
      <c r="AK134" s="27">
        <v>647.5</v>
      </c>
      <c r="AL134" s="9">
        <f>525*4</f>
        <v>2100</v>
      </c>
      <c r="AM134" s="9">
        <f>SUM(AD134:AL134)</f>
        <v>3272.5</v>
      </c>
      <c r="AN134" s="42">
        <f>+L134-AM134</f>
        <v>66727.5</v>
      </c>
    </row>
    <row r="135" spans="2:40" ht="18" x14ac:dyDescent="0.35">
      <c r="B135" s="10" t="s">
        <v>378</v>
      </c>
      <c r="C135" s="10" t="s">
        <v>379</v>
      </c>
      <c r="D135" s="62"/>
      <c r="E135" s="10" t="s">
        <v>45</v>
      </c>
      <c r="F135" s="10" t="s">
        <v>380</v>
      </c>
      <c r="G135" s="10" t="s">
        <v>381</v>
      </c>
      <c r="H135" s="10" t="s">
        <v>85</v>
      </c>
      <c r="I135" s="10" t="s">
        <v>58</v>
      </c>
      <c r="J135" s="10" t="s">
        <v>382</v>
      </c>
      <c r="K135" s="11">
        <v>44902</v>
      </c>
      <c r="L135" s="56">
        <v>202556.67</v>
      </c>
      <c r="M135" s="9">
        <f>+L135*0.1</f>
        <v>20255.667000000001</v>
      </c>
      <c r="N135" s="9">
        <f>+L135-M135</f>
        <v>182301.00300000003</v>
      </c>
      <c r="O135" s="9">
        <f>+N135/10</f>
        <v>18230.100300000002</v>
      </c>
      <c r="P135" s="9">
        <f>+O135/360*23</f>
        <v>1164.7008525000001</v>
      </c>
      <c r="Q135" s="9">
        <v>18230.099999999999</v>
      </c>
      <c r="R135" s="27">
        <v>1164.7</v>
      </c>
      <c r="S135" s="9">
        <f t="shared" si="42"/>
        <v>1519.1750250000002</v>
      </c>
      <c r="T135" s="25"/>
      <c r="U135" s="25">
        <v>1519.18</v>
      </c>
      <c r="V135" s="25"/>
      <c r="W135" s="25"/>
      <c r="X135" s="25"/>
      <c r="Y135" s="25"/>
      <c r="Z135" s="25"/>
      <c r="AA135" s="25"/>
      <c r="AB135" s="25"/>
      <c r="AC135" s="25"/>
      <c r="AD135" s="25">
        <v>1519.18</v>
      </c>
      <c r="AE135" s="25"/>
      <c r="AF135" s="25"/>
      <c r="AG135" s="25"/>
      <c r="AH135" s="34"/>
      <c r="AI135" s="42"/>
      <c r="AJ135" s="27"/>
      <c r="AK135" s="27">
        <v>1164.7</v>
      </c>
      <c r="AL135" s="9">
        <f>1519.18*4</f>
        <v>6076.72</v>
      </c>
      <c r="AM135" s="9">
        <f>SUM(AD135:AL135)</f>
        <v>8760.6</v>
      </c>
      <c r="AN135" s="42">
        <f>+L135-AM135</f>
        <v>193796.07</v>
      </c>
    </row>
    <row r="136" spans="2:40" ht="18" x14ac:dyDescent="0.35">
      <c r="B136" s="10"/>
      <c r="C136" s="10"/>
      <c r="D136" s="53"/>
      <c r="E136" s="10"/>
      <c r="F136" s="57"/>
      <c r="G136" s="10"/>
      <c r="H136" s="10"/>
      <c r="I136" s="10"/>
      <c r="J136" s="10"/>
      <c r="K136" s="11"/>
      <c r="L136" s="56"/>
      <c r="M136" s="9"/>
      <c r="N136" s="9"/>
      <c r="O136" s="9"/>
      <c r="P136" s="9"/>
      <c r="Q136" s="9"/>
      <c r="R136" s="27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34"/>
      <c r="AI136" s="42"/>
      <c r="AJ136" s="27"/>
      <c r="AK136" s="9"/>
      <c r="AL136" s="9"/>
      <c r="AM136" s="9"/>
      <c r="AN136" s="42"/>
    </row>
    <row r="137" spans="2:40" x14ac:dyDescent="0.3">
      <c r="J137" s="68" t="s">
        <v>383</v>
      </c>
      <c r="K137" s="68"/>
      <c r="L137" s="58">
        <f>SUM(L3:L136)</f>
        <v>14603855.389999999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9">
        <f t="shared" ref="AF137:AN137" si="44">SUM(AF3:AF136)</f>
        <v>385812.54639999999</v>
      </c>
      <c r="AG137" s="59">
        <f t="shared" si="44"/>
        <v>641325.97999999986</v>
      </c>
      <c r="AH137" s="58">
        <f t="shared" si="44"/>
        <v>1047882.17</v>
      </c>
      <c r="AI137" s="58">
        <f t="shared" si="44"/>
        <v>1077939.954178083</v>
      </c>
      <c r="AJ137" s="58">
        <f t="shared" si="44"/>
        <v>1105090.4405000007</v>
      </c>
      <c r="AK137" s="58">
        <f t="shared" si="44"/>
        <v>1137942.8505000004</v>
      </c>
      <c r="AL137" s="58">
        <f t="shared" si="44"/>
        <v>398888.11683333328</v>
      </c>
      <c r="AM137" s="58">
        <f t="shared" si="44"/>
        <v>6687596.038411418</v>
      </c>
      <c r="AN137" s="59">
        <f t="shared" si="44"/>
        <v>7916259.3515885836</v>
      </c>
    </row>
    <row r="138" spans="2:40" x14ac:dyDescent="0.3">
      <c r="L138" s="43"/>
    </row>
    <row r="139" spans="2:40" x14ac:dyDescent="0.3">
      <c r="B139" s="15"/>
      <c r="C139" s="15"/>
      <c r="D139" s="15"/>
      <c r="E139" s="15"/>
      <c r="F139" s="15"/>
      <c r="G139" s="15"/>
      <c r="H139" s="15"/>
      <c r="I139" s="60"/>
      <c r="J139" s="61"/>
      <c r="K139" s="61"/>
    </row>
    <row r="140" spans="2:40" x14ac:dyDescent="0.3">
      <c r="B140" s="15"/>
      <c r="C140" s="15"/>
      <c r="D140" s="15"/>
      <c r="E140" s="15"/>
      <c r="F140" s="15"/>
      <c r="G140" s="15"/>
      <c r="H140" s="15"/>
      <c r="I140" s="60"/>
      <c r="J140" s="61"/>
      <c r="K140" s="61"/>
    </row>
    <row r="141" spans="2:40" x14ac:dyDescent="0.3">
      <c r="B141" s="15"/>
      <c r="C141" s="15"/>
      <c r="D141" s="15"/>
      <c r="E141" s="15"/>
      <c r="F141" s="15"/>
      <c r="G141" s="15"/>
      <c r="H141" s="15"/>
      <c r="I141" s="60"/>
      <c r="J141" s="61"/>
      <c r="K141" s="61"/>
    </row>
  </sheetData>
  <mergeCells count="9">
    <mergeCell ref="F1:AN1"/>
    <mergeCell ref="G104:K104"/>
    <mergeCell ref="J137:K137"/>
    <mergeCell ref="C93:D93"/>
    <mergeCell ref="C94:D94"/>
    <mergeCell ref="C95:D95"/>
    <mergeCell ref="C99:D99"/>
    <mergeCell ref="C100:D100"/>
    <mergeCell ref="C101:D101"/>
  </mergeCells>
  <pageMargins left="0.23622047244094491" right="0.23622047244094491" top="0.94488188976377963" bottom="0.94488188976377963" header="0.31496062992125984" footer="0.31496062992125984"/>
  <pageSetup paperSize="5" scale="83" orientation="landscape" r:id="rId1"/>
  <headerFooter>
    <oddHeader>&amp;C&amp;"Arial Black,Normal"&amp;16HOSPITAL NACIONAL DE NIÑOS BENJAMIN BLOOM&amp;"-,Normal"&amp;11
&amp;"Arial Black,Normal"&amp;12LISTADO DE BIENES PARA LEY DE TRANSPARENCIA&amp;"-,Normal"&amp;11
&amp;"Arial Black,Normal"&amp;12DEPRECIACION AL 30 DE ABRIL DEL 2023.&amp;R&amp;P</oddHeader>
    <oddFooter>&amp;C&amp;"-,Negrita"Elaborado por: Victor Manuel Ventura C.
Contador
Fecha de Elaboracion: 24/04/2023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dep. a junio 2023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CONTABILIDAD</dc:creator>
  <cp:keywords/>
  <dc:description/>
  <cp:lastModifiedBy>usuario</cp:lastModifiedBy>
  <cp:revision/>
  <dcterms:created xsi:type="dcterms:W3CDTF">2021-01-27T19:34:14Z</dcterms:created>
  <dcterms:modified xsi:type="dcterms:W3CDTF">2023-08-07T22:56:46Z</dcterms:modified>
  <cp:category/>
  <cp:contentStatus/>
</cp:coreProperties>
</file>